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3.xml" ContentType="application/vnd.openxmlformats-officedocument.spreadsheetml.pivotTab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pivotTables/pivotTable8.xml" ContentType="application/vnd.openxmlformats-officedocument.spreadsheetml.pivotTabl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drawings/drawing7.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persons/person.xml" ContentType="application/vnd.ms-excel.person+xml"/>
  <Override PartName="/xl/calcChain.xml" ContentType="application/vnd.openxmlformats-officedocument.spreadsheetml.calcChain+xml"/>
  <Override PartName="/xl/python.xml" ContentType="application/vnd.ms-excel.pyth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124226"/>
  <mc:AlternateContent xmlns:mc="http://schemas.openxmlformats.org/markup-compatibility/2006">
    <mc:Choice Requires="x15">
      <x15ac:absPath xmlns:x15ac="http://schemas.microsoft.com/office/spreadsheetml/2010/11/ac" url="/Users/sepehrmehrvar/Library/Mobile Documents/com~apple~CloudDocs/Macbook/sepehrwebsite/industrial/excel/part 1/final/"/>
    </mc:Choice>
  </mc:AlternateContent>
  <xr:revisionPtr revIDLastSave="0" documentId="13_ncr:1_{CFC334DA-445F-E54E-A6D8-B80273F07AD4}" xr6:coauthVersionLast="47" xr6:coauthVersionMax="47" xr10:uidLastSave="{00000000-0000-0000-0000-000000000000}"/>
  <bookViews>
    <workbookView xWindow="0" yWindow="600" windowWidth="28800" windowHeight="15820" xr2:uid="{00000000-000D-0000-FFFF-FFFF00000000}"/>
  </bookViews>
  <sheets>
    <sheet name="Raw Data" sheetId="1" r:id="rId1"/>
    <sheet name="Pareto_Analysis" sheetId="15" r:id="rId2"/>
    <sheet name="OEE_Analysis" sheetId="16" r:id="rId3"/>
    <sheet name="Shift_Analysis" sheetId="4" r:id="rId4"/>
    <sheet name="Defect_Analysis" sheetId="6" r:id="rId5"/>
    <sheet name="Downtime_Analysis" sheetId="7" r:id="rId6"/>
    <sheet name="Machine_Efficiency_Analysis" sheetId="3" r:id="rId7"/>
    <sheet name="Defect_Table" sheetId="8" r:id="rId8"/>
    <sheet name="Efficiency_Table" sheetId="9" r:id="rId9"/>
    <sheet name="Helper_Calculations" sheetId="10" r:id="rId10"/>
    <sheet name="Solver_Shift" sheetId="11" r:id="rId11"/>
    <sheet name="Solver_Operator" sheetId="12" r:id="rId12"/>
    <sheet name="Dashboard" sheetId="13" r:id="rId13"/>
  </sheets>
  <definedNames>
    <definedName name="D">Defect_Table!$A$4:$B$7</definedName>
    <definedName name="Defect_Table">Defect_Table!$F$4:$I$7</definedName>
    <definedName name="DefectTable">Defect_Table!$A$4:$B$7</definedName>
    <definedName name="Efficiency_Table">Efficiency_Table!$A$1:$B$5</definedName>
    <definedName name="solver_adj" localSheetId="11" hidden="1">Solver_Operator!$H$3:$J$12</definedName>
    <definedName name="solver_adj" localSheetId="10" hidden="1">Solver_Shift!$B$17:$B$19</definedName>
    <definedName name="solver_cvg" localSheetId="11" hidden="1">0.0001</definedName>
    <definedName name="solver_cvg" localSheetId="10" hidden="1">0.0001</definedName>
    <definedName name="solver_drv" localSheetId="11" hidden="1">1</definedName>
    <definedName name="solver_drv" localSheetId="10" hidden="1">1</definedName>
    <definedName name="solver_eng" localSheetId="11" hidden="1">2</definedName>
    <definedName name="solver_eng" localSheetId="10" hidden="1">2</definedName>
    <definedName name="solver_itr" localSheetId="11" hidden="1">2147483647</definedName>
    <definedName name="solver_itr" localSheetId="10" hidden="1">2147483647</definedName>
    <definedName name="solver_lhs1" localSheetId="11" hidden="1">Solver_Operator!$H$3:$J$12</definedName>
    <definedName name="solver_lhs1" localSheetId="10" hidden="1">Solver_Shift!$B$17:$B$19</definedName>
    <definedName name="solver_lhs2" localSheetId="11" hidden="1">Solver_Operator!$L$3:$L$12</definedName>
    <definedName name="solver_lhs2" localSheetId="10" hidden="1">Solver_Shift!$B$17:$B$19</definedName>
    <definedName name="solver_lhs3" localSheetId="10" hidden="1">Solver_Shift!$E$17:$E$19</definedName>
    <definedName name="solver_lhs4" localSheetId="10" hidden="1">Solver_Shift!$E$19</definedName>
    <definedName name="solver_lhs5" localSheetId="10" hidden="1">Solver_Shift!$E$17</definedName>
    <definedName name="solver_lin" localSheetId="11" hidden="1">1</definedName>
    <definedName name="solver_lin" localSheetId="10" hidden="1">1</definedName>
    <definedName name="solver_mip" localSheetId="11" hidden="1">2147483647</definedName>
    <definedName name="solver_mip" localSheetId="10" hidden="1">2147483647</definedName>
    <definedName name="solver_mni" localSheetId="11" hidden="1">30</definedName>
    <definedName name="solver_mni" localSheetId="10" hidden="1">30</definedName>
    <definedName name="solver_mrt" localSheetId="11" hidden="1">0.075</definedName>
    <definedName name="solver_mrt" localSheetId="10" hidden="1">0.075</definedName>
    <definedName name="solver_msl" localSheetId="11" hidden="1">2</definedName>
    <definedName name="solver_msl" localSheetId="10" hidden="1">2</definedName>
    <definedName name="solver_neg" localSheetId="11" hidden="1">1</definedName>
    <definedName name="solver_neg" localSheetId="10" hidden="1">1</definedName>
    <definedName name="solver_nod" localSheetId="11" hidden="1">2147483647</definedName>
    <definedName name="solver_nod" localSheetId="10" hidden="1">2147483647</definedName>
    <definedName name="solver_num" localSheetId="11" hidden="1">2</definedName>
    <definedName name="solver_num" localSheetId="10" hidden="1">3</definedName>
    <definedName name="solver_opt" localSheetId="11" hidden="1">Solver_Operator!$K$13</definedName>
    <definedName name="solver_opt" localSheetId="10" hidden="1">Solver_Shift!$B$20</definedName>
    <definedName name="solver_pre" localSheetId="11" hidden="1">0.000001</definedName>
    <definedName name="solver_pre" localSheetId="10" hidden="1">0.000001</definedName>
    <definedName name="solver_rbv" localSheetId="11" hidden="1">1</definedName>
    <definedName name="solver_rbv" localSheetId="10" hidden="1">1</definedName>
    <definedName name="solver_rel1" localSheetId="11" hidden="1">5</definedName>
    <definedName name="solver_rel1" localSheetId="10" hidden="1">4</definedName>
    <definedName name="solver_rel2" localSheetId="11" hidden="1">2</definedName>
    <definedName name="solver_rel2" localSheetId="10" hidden="1">3</definedName>
    <definedName name="solver_rel3" localSheetId="10" hidden="1">1</definedName>
    <definedName name="solver_rel4" localSheetId="10" hidden="1">1</definedName>
    <definedName name="solver_rel5" localSheetId="10" hidden="1">1</definedName>
    <definedName name="solver_rhs1" localSheetId="11" hidden="1">"binary"</definedName>
    <definedName name="solver_rhs1" localSheetId="10" hidden="1">"integer"</definedName>
    <definedName name="solver_rhs2" localSheetId="11" hidden="1">1</definedName>
    <definedName name="solver_rhs2" localSheetId="10" hidden="1">0</definedName>
    <definedName name="solver_rhs3" localSheetId="10" hidden="1">400</definedName>
    <definedName name="solver_rhs4" localSheetId="10" hidden="1">400</definedName>
    <definedName name="solver_rhs5" localSheetId="10" hidden="1">400</definedName>
    <definedName name="solver_rlx" localSheetId="11" hidden="1">1</definedName>
    <definedName name="solver_rlx" localSheetId="10" hidden="1">1</definedName>
    <definedName name="solver_rsd" localSheetId="11" hidden="1">0</definedName>
    <definedName name="solver_rsd" localSheetId="10" hidden="1">0</definedName>
    <definedName name="solver_scl" localSheetId="11" hidden="1">2</definedName>
    <definedName name="solver_scl" localSheetId="10" hidden="1">2</definedName>
    <definedName name="solver_sho" localSheetId="11" hidden="1">2</definedName>
    <definedName name="solver_sho" localSheetId="10" hidden="1">2</definedName>
    <definedName name="solver_ssz" localSheetId="11" hidden="1">100</definedName>
    <definedName name="solver_ssz" localSheetId="10" hidden="1">100</definedName>
    <definedName name="solver_tim" localSheetId="11" hidden="1">2147483647</definedName>
    <definedName name="solver_tim" localSheetId="10" hidden="1">2147483647</definedName>
    <definedName name="solver_tol" localSheetId="11" hidden="1">0.01</definedName>
    <definedName name="solver_tol" localSheetId="10" hidden="1">0.01</definedName>
    <definedName name="solver_typ" localSheetId="11" hidden="1">2</definedName>
    <definedName name="solver_typ" localSheetId="10" hidden="1">1</definedName>
    <definedName name="solver_val" localSheetId="11" hidden="1">0</definedName>
    <definedName name="solver_val" localSheetId="10" hidden="1">0</definedName>
    <definedName name="solver_ver" localSheetId="11" hidden="1">2</definedName>
    <definedName name="solver_ver" localSheetId="10" hidden="1">2</definedName>
  </definedNames>
  <calcPr calcId="191029"/>
  <pivotCaches>
    <pivotCache cacheId="0" r:id="rId14"/>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6" l="1"/>
  <c r="F5" i="16"/>
  <c r="I5" i="16"/>
  <c r="I6" i="16"/>
  <c r="I7" i="16"/>
  <c r="B6" i="16"/>
  <c r="B7" i="16"/>
  <c r="B5" i="16"/>
  <c r="F7" i="16"/>
  <c r="F6" i="16"/>
  <c r="E7" i="16"/>
  <c r="E6" i="16"/>
  <c r="C7" i="16"/>
  <c r="C6" i="16"/>
  <c r="C5" i="16"/>
  <c r="G37" i="15"/>
  <c r="G38" i="15"/>
  <c r="G39" i="15" s="1"/>
  <c r="G40" i="15" s="1"/>
  <c r="G41" i="15" s="1"/>
  <c r="G42" i="15" s="1"/>
  <c r="G43" i="15" s="1"/>
  <c r="G44" i="15" s="1"/>
  <c r="G45" i="15" s="1"/>
  <c r="G46" i="15" s="1"/>
  <c r="G47" i="15" s="1"/>
  <c r="G48" i="15" s="1"/>
  <c r="G49" i="15" s="1"/>
  <c r="G50" i="15" s="1"/>
  <c r="G51" i="15" s="1"/>
  <c r="G52" i="15" s="1"/>
  <c r="G53" i="15" s="1"/>
  <c r="G54" i="15" s="1"/>
  <c r="G55" i="15" s="1"/>
  <c r="G56" i="15" s="1"/>
  <c r="G57" i="15" s="1"/>
  <c r="G58" i="15" s="1"/>
  <c r="G59" i="15" s="1"/>
  <c r="G60" i="15" s="1"/>
  <c r="G61" i="15" s="1"/>
  <c r="G62" i="15" s="1"/>
  <c r="G63" i="15" s="1"/>
  <c r="G64" i="15" s="1"/>
  <c r="G36" i="15"/>
  <c r="G35" i="15"/>
  <c r="E65" i="15"/>
  <c r="F51" i="15" s="1"/>
  <c r="G4" i="15"/>
  <c r="G5" i="15" s="1"/>
  <c r="G6" i="15" s="1"/>
  <c r="G7" i="15" s="1"/>
  <c r="G8" i="15" s="1"/>
  <c r="G9" i="15" s="1"/>
  <c r="G10" i="15" s="1"/>
  <c r="G11" i="15" s="1"/>
  <c r="G12" i="15" s="1"/>
  <c r="G13" i="15" s="1"/>
  <c r="I13" i="12"/>
  <c r="J13" i="12"/>
  <c r="H13" i="12"/>
  <c r="L4" i="12"/>
  <c r="L5" i="12"/>
  <c r="L6" i="12"/>
  <c r="L7" i="12"/>
  <c r="L8" i="12"/>
  <c r="L9" i="12"/>
  <c r="L10" i="12"/>
  <c r="L11" i="12"/>
  <c r="L12" i="12"/>
  <c r="L3" i="12"/>
  <c r="B20" i="11"/>
  <c r="L2"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B4" i="10"/>
  <c r="J12" i="1" s="1"/>
  <c r="B3" i="10"/>
  <c r="B2" i="10"/>
  <c r="B1" i="10"/>
  <c r="F7" i="4" a="1"/>
  <c r="F7" i="4" s="1"/>
  <c r="F5" i="4" a="1"/>
  <c r="F5" i="4" s="1"/>
  <c r="F6" i="4" a="1"/>
  <c r="F6" i="4" s="1"/>
  <c r="E7" i="4"/>
  <c r="G4" i="6"/>
  <c r="E6" i="4"/>
  <c r="F5" i="6"/>
  <c r="E6" i="7"/>
  <c r="G5" i="6"/>
  <c r="G6" i="6"/>
  <c r="E5" i="4"/>
  <c r="F6" i="6"/>
  <c r="E5" i="7"/>
  <c r="F4" i="6"/>
  <c r="E4" i="7"/>
  <c r="K11" i="12"/>
  <c r="K3" i="12"/>
  <c r="K10" i="12"/>
  <c r="K6" i="12"/>
  <c r="K7" i="12"/>
  <c r="K5" i="12"/>
  <c r="K9" i="12"/>
  <c r="K12" i="12"/>
  <c r="K4" i="12"/>
  <c r="K8" i="12"/>
  <c r="I6" i="13"/>
  <c r="E6" i="13"/>
  <c r="I5" i="13"/>
  <c r="E5" i="13"/>
  <c r="A5" i="13"/>
  <c r="A6" i="13"/>
  <c r="C11" i="11"/>
  <c r="D12" i="11"/>
  <c r="D10" i="11"/>
  <c r="D11" i="11"/>
  <c r="C12" i="11"/>
  <c r="C10" i="11"/>
  <c r="B10" i="11"/>
  <c r="B12" i="11"/>
  <c r="B11" i="11"/>
  <c r="H7" i="8"/>
  <c r="H5" i="8"/>
  <c r="G6" i="8"/>
  <c r="G5" i="8"/>
  <c r="H6" i="8"/>
  <c r="G7" i="8"/>
  <c r="D5" i="16" l="1"/>
  <c r="G5" i="16"/>
  <c r="J5" i="16" s="1"/>
  <c r="C18" i="11"/>
  <c r="C17" i="11"/>
  <c r="C19" i="11"/>
  <c r="E10" i="11"/>
  <c r="D17" i="11" s="1"/>
  <c r="E17" i="11" s="1"/>
  <c r="E12" i="11"/>
  <c r="D19" i="11" s="1"/>
  <c r="E19" i="11" s="1"/>
  <c r="E11" i="11"/>
  <c r="D18" i="11" s="1"/>
  <c r="E18" i="11" s="1"/>
  <c r="D7" i="16"/>
  <c r="H7" i="16" s="1"/>
  <c r="D6" i="16"/>
  <c r="H6" i="16" s="1"/>
  <c r="G6" i="16"/>
  <c r="J6" i="16" s="1"/>
  <c r="G7" i="16"/>
  <c r="J7" i="16" s="1"/>
  <c r="H5" i="16"/>
  <c r="F52" i="15"/>
  <c r="F62" i="15"/>
  <c r="F63" i="15"/>
  <c r="F61" i="15"/>
  <c r="F55" i="15"/>
  <c r="F59" i="15"/>
  <c r="F40" i="15"/>
  <c r="F47" i="15"/>
  <c r="F50" i="15"/>
  <c r="F45" i="15"/>
  <c r="F57" i="15"/>
  <c r="F56" i="15"/>
  <c r="F35" i="15"/>
  <c r="F42" i="15"/>
  <c r="F64" i="15"/>
  <c r="F49" i="15"/>
  <c r="F44" i="15"/>
  <c r="F38" i="15"/>
  <c r="F43" i="15"/>
  <c r="F39" i="15"/>
  <c r="F53" i="15"/>
  <c r="F37" i="15"/>
  <c r="F60" i="15"/>
  <c r="F48" i="15"/>
  <c r="F46" i="15"/>
  <c r="F54" i="15"/>
  <c r="F41" i="15"/>
  <c r="F58" i="15"/>
  <c r="F36" i="15"/>
  <c r="G6" i="13"/>
  <c r="G5" i="13"/>
  <c r="J19" i="1"/>
  <c r="J201" i="1"/>
  <c r="J6" i="1"/>
  <c r="J185" i="1"/>
  <c r="J3" i="1"/>
  <c r="J254" i="1"/>
  <c r="J161" i="1"/>
  <c r="J94" i="1"/>
  <c r="J252" i="1"/>
  <c r="J155" i="1"/>
  <c r="J9" i="1"/>
  <c r="J222" i="1"/>
  <c r="J267" i="1"/>
  <c r="J241" i="1"/>
  <c r="J219" i="1"/>
  <c r="J179" i="1"/>
  <c r="J131" i="1"/>
  <c r="J70" i="1"/>
  <c r="J251" i="1"/>
  <c r="J265" i="1"/>
  <c r="J238" i="1"/>
  <c r="J217" i="1"/>
  <c r="J172" i="1"/>
  <c r="J123" i="1"/>
  <c r="J59" i="1"/>
  <c r="J227" i="1"/>
  <c r="J91" i="1"/>
  <c r="J270" i="1"/>
  <c r="J187" i="1"/>
  <c r="J147" i="1"/>
  <c r="J86" i="1"/>
  <c r="J268" i="1"/>
  <c r="J220" i="1"/>
  <c r="J78" i="1"/>
  <c r="J259" i="1"/>
  <c r="J236" i="1"/>
  <c r="J211" i="1"/>
  <c r="J171" i="1"/>
  <c r="J113" i="1"/>
  <c r="J43" i="1"/>
  <c r="J233" i="1"/>
  <c r="J249" i="1"/>
  <c r="J132" i="1"/>
  <c r="J257" i="1"/>
  <c r="J235" i="1"/>
  <c r="J209" i="1"/>
  <c r="J163" i="1"/>
  <c r="J108" i="1"/>
  <c r="J41" i="1"/>
  <c r="J203" i="1"/>
  <c r="I5" i="8"/>
  <c r="I7" i="8"/>
  <c r="I6" i="8"/>
  <c r="J7" i="1"/>
  <c r="J225" i="1"/>
  <c r="J193" i="1"/>
  <c r="J177" i="1"/>
  <c r="J145" i="1"/>
  <c r="J129" i="1"/>
  <c r="J97" i="1"/>
  <c r="J81" i="1"/>
  <c r="J65" i="1"/>
  <c r="J49" i="1"/>
  <c r="J33" i="1"/>
  <c r="J17" i="1"/>
  <c r="J206" i="1"/>
  <c r="J190" i="1"/>
  <c r="J174" i="1"/>
  <c r="J158" i="1"/>
  <c r="J142" i="1"/>
  <c r="J126" i="1"/>
  <c r="J110" i="1"/>
  <c r="J62" i="1"/>
  <c r="J46" i="1"/>
  <c r="J30" i="1"/>
  <c r="J14" i="1"/>
  <c r="J204" i="1"/>
  <c r="J188" i="1"/>
  <c r="J156" i="1"/>
  <c r="J140" i="1"/>
  <c r="J124" i="1"/>
  <c r="J92" i="1"/>
  <c r="J76" i="1"/>
  <c r="J60" i="1"/>
  <c r="J44" i="1"/>
  <c r="J28" i="1"/>
  <c r="J139" i="1"/>
  <c r="J107" i="1"/>
  <c r="J75" i="1"/>
  <c r="J27" i="1"/>
  <c r="J11" i="1"/>
  <c r="J169" i="1"/>
  <c r="J153" i="1"/>
  <c r="J137" i="1"/>
  <c r="J121" i="1"/>
  <c r="J105" i="1"/>
  <c r="J89" i="1"/>
  <c r="J73" i="1"/>
  <c r="J57" i="1"/>
  <c r="J25" i="1"/>
  <c r="J262" i="1"/>
  <c r="J246" i="1"/>
  <c r="J230" i="1"/>
  <c r="J214" i="1"/>
  <c r="J198" i="1"/>
  <c r="J182" i="1"/>
  <c r="J166" i="1"/>
  <c r="J150" i="1"/>
  <c r="J134" i="1"/>
  <c r="J118" i="1"/>
  <c r="J102" i="1"/>
  <c r="J54" i="1"/>
  <c r="J38" i="1"/>
  <c r="J22" i="1"/>
  <c r="J260" i="1"/>
  <c r="J244" i="1"/>
  <c r="J228" i="1"/>
  <c r="J212" i="1"/>
  <c r="J196" i="1"/>
  <c r="J180" i="1"/>
  <c r="J164" i="1"/>
  <c r="J148" i="1"/>
  <c r="J116" i="1"/>
  <c r="J100" i="1"/>
  <c r="J84" i="1"/>
  <c r="J68" i="1"/>
  <c r="J52" i="1"/>
  <c r="J36" i="1"/>
  <c r="J20" i="1"/>
  <c r="J4" i="1"/>
  <c r="J243" i="1"/>
  <c r="J195" i="1"/>
  <c r="J115" i="1"/>
  <c r="J99" i="1"/>
  <c r="J83" i="1"/>
  <c r="J67" i="1"/>
  <c r="J51" i="1"/>
  <c r="J35" i="1"/>
  <c r="J269" i="1"/>
  <c r="J261" i="1"/>
  <c r="J253" i="1"/>
  <c r="J245" i="1"/>
  <c r="J237" i="1"/>
  <c r="J229" i="1"/>
  <c r="J221" i="1"/>
  <c r="J213" i="1"/>
  <c r="J205" i="1"/>
  <c r="J197" i="1"/>
  <c r="J189" i="1"/>
  <c r="J181" i="1"/>
  <c r="J173" i="1"/>
  <c r="J165" i="1"/>
  <c r="J157" i="1"/>
  <c r="J149" i="1"/>
  <c r="J141" i="1"/>
  <c r="J133" i="1"/>
  <c r="J125" i="1"/>
  <c r="J117" i="1"/>
  <c r="J109" i="1"/>
  <c r="J101" i="1"/>
  <c r="J93" i="1"/>
  <c r="J85" i="1"/>
  <c r="J77" i="1"/>
  <c r="J69" i="1"/>
  <c r="J61" i="1"/>
  <c r="J53" i="1"/>
  <c r="J45" i="1"/>
  <c r="J37" i="1"/>
  <c r="J29" i="1"/>
  <c r="J21" i="1"/>
  <c r="J13" i="1"/>
  <c r="J5" i="1"/>
  <c r="J266" i="1"/>
  <c r="J258" i="1"/>
  <c r="J250" i="1"/>
  <c r="J242" i="1"/>
  <c r="J234" i="1"/>
  <c r="J226" i="1"/>
  <c r="J218" i="1"/>
  <c r="J210" i="1"/>
  <c r="J202" i="1"/>
  <c r="J194" i="1"/>
  <c r="J186" i="1"/>
  <c r="J178" i="1"/>
  <c r="J170" i="1"/>
  <c r="J162" i="1"/>
  <c r="J154" i="1"/>
  <c r="J146" i="1"/>
  <c r="J138" i="1"/>
  <c r="J130" i="1"/>
  <c r="J122" i="1"/>
  <c r="J114" i="1"/>
  <c r="J106" i="1"/>
  <c r="J98" i="1"/>
  <c r="J90" i="1"/>
  <c r="J82" i="1"/>
  <c r="J74" i="1"/>
  <c r="J66" i="1"/>
  <c r="J58" i="1"/>
  <c r="J50" i="1"/>
  <c r="J42" i="1"/>
  <c r="J34" i="1"/>
  <c r="J26" i="1"/>
  <c r="J18" i="1"/>
  <c r="J10" i="1"/>
  <c r="J2" i="1"/>
  <c r="J264" i="1"/>
  <c r="J256" i="1"/>
  <c r="J248" i="1"/>
  <c r="J240" i="1"/>
  <c r="J232" i="1"/>
  <c r="J224" i="1"/>
  <c r="J216" i="1"/>
  <c r="J208" i="1"/>
  <c r="J200" i="1"/>
  <c r="J192" i="1"/>
  <c r="J184" i="1"/>
  <c r="J176" i="1"/>
  <c r="J168" i="1"/>
  <c r="J160" i="1"/>
  <c r="J152" i="1"/>
  <c r="J144" i="1"/>
  <c r="J136" i="1"/>
  <c r="J128" i="1"/>
  <c r="J120" i="1"/>
  <c r="J112" i="1"/>
  <c r="J104" i="1"/>
  <c r="J96" i="1"/>
  <c r="J88" i="1"/>
  <c r="J80" i="1"/>
  <c r="J72" i="1"/>
  <c r="J64" i="1"/>
  <c r="J56" i="1"/>
  <c r="J48" i="1"/>
  <c r="J40" i="1"/>
  <c r="J32" i="1"/>
  <c r="J24" i="1"/>
  <c r="J16" i="1"/>
  <c r="J8" i="1"/>
  <c r="J271" i="1"/>
  <c r="J263" i="1"/>
  <c r="J255" i="1"/>
  <c r="J247" i="1"/>
  <c r="J239" i="1"/>
  <c r="J231" i="1"/>
  <c r="J223" i="1"/>
  <c r="J215" i="1"/>
  <c r="J207" i="1"/>
  <c r="J199" i="1"/>
  <c r="J191" i="1"/>
  <c r="J183" i="1"/>
  <c r="J175" i="1"/>
  <c r="J167" i="1"/>
  <c r="J159" i="1"/>
  <c r="J151" i="1"/>
  <c r="J143" i="1"/>
  <c r="J135" i="1"/>
  <c r="J127" i="1"/>
  <c r="J119" i="1"/>
  <c r="J111" i="1"/>
  <c r="J103" i="1"/>
  <c r="J95" i="1"/>
  <c r="J87" i="1"/>
  <c r="J79" i="1"/>
  <c r="J71" i="1"/>
  <c r="J63" i="1"/>
  <c r="J55" i="1"/>
  <c r="J47" i="1"/>
  <c r="J39" i="1"/>
  <c r="J31" i="1"/>
  <c r="J23" i="1"/>
  <c r="J15" i="1"/>
  <c r="L13" i="12"/>
  <c r="K13" i="12"/>
  <c r="K5" i="13" s="1"/>
  <c r="H4" i="6"/>
  <c r="H6" i="6"/>
  <c r="H5" i="6"/>
  <c r="K5" i="16" l="1"/>
  <c r="K6" i="16"/>
  <c r="K7" i="16"/>
  <c r="C6" i="13"/>
  <c r="C5" i="13"/>
  <c r="K8" i="1"/>
  <c r="K16" i="1"/>
  <c r="K32" i="1"/>
  <c r="K80" i="1"/>
  <c r="K96" i="1"/>
  <c r="K104" i="1"/>
  <c r="K112" i="1"/>
  <c r="K128" i="1"/>
  <c r="K176" i="1"/>
  <c r="K184" i="1"/>
  <c r="K192" i="1"/>
  <c r="K224" i="1"/>
  <c r="K256" i="1"/>
  <c r="K264" i="1"/>
  <c r="K2" i="1"/>
  <c r="K26" i="1"/>
  <c r="K74" i="1"/>
  <c r="K33" i="1"/>
  <c r="K49" i="1"/>
  <c r="K73" i="1"/>
  <c r="K89" i="1"/>
  <c r="K105" i="1"/>
  <c r="K153" i="1"/>
  <c r="K177" i="1"/>
  <c r="K193" i="1"/>
  <c r="K201" i="1"/>
  <c r="K233" i="1"/>
  <c r="K3" i="1"/>
  <c r="K11" i="1"/>
  <c r="K67" i="1"/>
  <c r="K83" i="1"/>
  <c r="K107" i="1"/>
  <c r="K115" i="1"/>
  <c r="K147" i="1"/>
  <c r="K155" i="1"/>
  <c r="K187" i="1"/>
  <c r="K195" i="1"/>
  <c r="K211" i="1"/>
  <c r="K243" i="1"/>
  <c r="K20" i="1"/>
  <c r="K28" i="1"/>
  <c r="K60" i="1"/>
  <c r="K92" i="1"/>
  <c r="K140" i="1"/>
  <c r="K85" i="1"/>
  <c r="K93" i="1"/>
  <c r="K133" i="1"/>
  <c r="K149" i="1"/>
  <c r="K173" i="1"/>
  <c r="K181" i="1"/>
  <c r="K30" i="1"/>
  <c r="K70" i="1"/>
  <c r="K78" i="1"/>
  <c r="K86" i="1"/>
  <c r="K134" i="1"/>
  <c r="K158" i="1"/>
  <c r="K174" i="1"/>
  <c r="K198" i="1"/>
  <c r="K206" i="1"/>
  <c r="K214" i="1"/>
  <c r="K238" i="1"/>
  <c r="K246" i="1"/>
  <c r="K254" i="1"/>
  <c r="K7" i="1"/>
  <c r="K15" i="1"/>
  <c r="K23" i="1"/>
  <c r="K106" i="1"/>
  <c r="K212" i="1"/>
  <c r="K244" i="1"/>
  <c r="K261" i="1"/>
  <c r="K79" i="1"/>
  <c r="K178" i="1"/>
  <c r="K199" i="1"/>
  <c r="K215" i="1"/>
  <c r="K247" i="1"/>
  <c r="K119" i="1"/>
  <c r="K202" i="1"/>
  <c r="K234" i="1"/>
  <c r="K250" i="1"/>
  <c r="K31" i="1"/>
  <c r="K154" i="1"/>
  <c r="K183" i="1"/>
  <c r="K204" i="1"/>
  <c r="K236" i="1"/>
  <c r="K252" i="1"/>
  <c r="K39" i="1"/>
  <c r="K159" i="1"/>
  <c r="K237" i="1"/>
  <c r="K162" i="1"/>
  <c r="K188" i="1"/>
  <c r="K207" i="1"/>
  <c r="K239" i="1"/>
  <c r="K271" i="1"/>
  <c r="K210" i="1"/>
  <c r="K258" i="1"/>
  <c r="K40" i="1"/>
  <c r="K48" i="1"/>
  <c r="K56" i="1"/>
  <c r="K64" i="1"/>
  <c r="K88" i="1"/>
  <c r="K144" i="1"/>
  <c r="K152" i="1"/>
  <c r="K160" i="1"/>
  <c r="K168" i="1"/>
  <c r="K208" i="1"/>
  <c r="K232" i="1"/>
  <c r="K240" i="1"/>
  <c r="K10" i="1"/>
  <c r="K18" i="1"/>
  <c r="K42" i="1"/>
  <c r="K50" i="1"/>
  <c r="K58" i="1"/>
  <c r="K17" i="1"/>
  <c r="K41" i="1"/>
  <c r="K57" i="1"/>
  <c r="K65" i="1"/>
  <c r="K81" i="1"/>
  <c r="K97" i="1"/>
  <c r="K145" i="1"/>
  <c r="K169" i="1"/>
  <c r="K185" i="1"/>
  <c r="K217" i="1"/>
  <c r="K249" i="1"/>
  <c r="K257" i="1"/>
  <c r="K265" i="1"/>
  <c r="K27" i="1"/>
  <c r="K59" i="1"/>
  <c r="K91" i="1"/>
  <c r="K99" i="1"/>
  <c r="K123" i="1"/>
  <c r="K131" i="1"/>
  <c r="K163" i="1"/>
  <c r="K179" i="1"/>
  <c r="K203" i="1"/>
  <c r="K219" i="1"/>
  <c r="K235" i="1"/>
  <c r="K251" i="1"/>
  <c r="K259" i="1"/>
  <c r="K12" i="1"/>
  <c r="K36" i="1"/>
  <c r="K44" i="1"/>
  <c r="K52" i="1"/>
  <c r="K68" i="1"/>
  <c r="K76" i="1"/>
  <c r="K100" i="1"/>
  <c r="K116" i="1"/>
  <c r="K132" i="1"/>
  <c r="K172" i="1"/>
  <c r="K13" i="1"/>
  <c r="K21" i="1"/>
  <c r="K29" i="1"/>
  <c r="K37" i="1"/>
  <c r="K69" i="1"/>
  <c r="K77" i="1"/>
  <c r="K165" i="1"/>
  <c r="K6" i="1"/>
  <c r="K22" i="1"/>
  <c r="K38" i="1"/>
  <c r="K94" i="1"/>
  <c r="K102" i="1"/>
  <c r="K110" i="1"/>
  <c r="K118" i="1"/>
  <c r="K166" i="1"/>
  <c r="K190" i="1"/>
  <c r="K230" i="1"/>
  <c r="K262" i="1"/>
  <c r="K270" i="1"/>
  <c r="K170" i="1"/>
  <c r="K228" i="1"/>
  <c r="K260" i="1"/>
  <c r="K229" i="1"/>
  <c r="K245" i="1"/>
  <c r="K114" i="1"/>
  <c r="K146" i="1"/>
  <c r="K263" i="1"/>
  <c r="K151" i="1"/>
  <c r="K90" i="1"/>
  <c r="K122" i="1"/>
  <c r="K220" i="1"/>
  <c r="K268" i="1"/>
  <c r="K253" i="1"/>
  <c r="K98" i="1"/>
  <c r="K130" i="1"/>
  <c r="K223" i="1"/>
  <c r="K255" i="1"/>
  <c r="K242" i="1"/>
  <c r="K24" i="1"/>
  <c r="K72" i="1"/>
  <c r="K120" i="1"/>
  <c r="K136" i="1"/>
  <c r="K200" i="1"/>
  <c r="K216" i="1"/>
  <c r="K248" i="1"/>
  <c r="K34" i="1"/>
  <c r="K66" i="1"/>
  <c r="K82" i="1"/>
  <c r="K9" i="1"/>
  <c r="K25" i="1"/>
  <c r="K113" i="1"/>
  <c r="K121" i="1"/>
  <c r="K129" i="1"/>
  <c r="K137" i="1"/>
  <c r="K161" i="1"/>
  <c r="K209" i="1"/>
  <c r="K225" i="1"/>
  <c r="K241" i="1"/>
  <c r="K19" i="1"/>
  <c r="K35" i="1"/>
  <c r="K43" i="1"/>
  <c r="K51" i="1"/>
  <c r="K75" i="1"/>
  <c r="K139" i="1"/>
  <c r="K171" i="1"/>
  <c r="K227" i="1"/>
  <c r="K267" i="1"/>
  <c r="K4" i="1"/>
  <c r="K84" i="1"/>
  <c r="K108" i="1"/>
  <c r="K124" i="1"/>
  <c r="K148" i="1"/>
  <c r="K156" i="1"/>
  <c r="K164" i="1"/>
  <c r="K5" i="1"/>
  <c r="K45" i="1"/>
  <c r="K53" i="1"/>
  <c r="K61" i="1"/>
  <c r="K101" i="1"/>
  <c r="K109" i="1"/>
  <c r="K117" i="1"/>
  <c r="K125" i="1"/>
  <c r="K141" i="1"/>
  <c r="K157" i="1"/>
  <c r="K189" i="1"/>
  <c r="K197" i="1"/>
  <c r="K14" i="1"/>
  <c r="K46" i="1"/>
  <c r="K54" i="1"/>
  <c r="K62" i="1"/>
  <c r="K126" i="1"/>
  <c r="K142" i="1"/>
  <c r="K150" i="1"/>
  <c r="K182" i="1"/>
  <c r="K222" i="1"/>
  <c r="K63" i="1"/>
  <c r="K138" i="1"/>
  <c r="K194" i="1"/>
  <c r="K71" i="1"/>
  <c r="K111" i="1"/>
  <c r="K143" i="1"/>
  <c r="K175" i="1"/>
  <c r="K196" i="1"/>
  <c r="K213" i="1"/>
  <c r="K231" i="1"/>
  <c r="K87" i="1"/>
  <c r="K180" i="1"/>
  <c r="K218" i="1"/>
  <c r="K266" i="1"/>
  <c r="K95" i="1"/>
  <c r="K127" i="1"/>
  <c r="K186" i="1"/>
  <c r="K205" i="1"/>
  <c r="K221" i="1"/>
  <c r="K269" i="1"/>
  <c r="K47" i="1"/>
  <c r="K55" i="1"/>
  <c r="K103" i="1"/>
  <c r="K135" i="1"/>
  <c r="K167" i="1"/>
  <c r="K191" i="1"/>
  <c r="K226" i="1"/>
  <c r="E20"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tc={47ED67AF-4AE1-9840-93D6-2C82B40570A4}</author>
    <author>tc={5105E05C-7FDD-5848-BB32-6B64EAD90699}</author>
  </authors>
  <commentList>
    <comment ref="B4" authorId="0" shapeId="0" xr:uid="{47ED67AF-4AE1-9840-93D6-2C82B40570A4}">
      <text>
        <t>[Threaded comment]
Your version of Excel allows you to read this threaded comment; however, any edits to it will get removed if the file is opened in a newer version of Excel. Learn more: https://go.microsoft.com/fwlink/?linkid=870924
Comment:
    Assumption:
Each production record is treated as one scheduled operating period of 480 minutes.</t>
      </text>
    </comment>
    <comment ref="K4" authorId="1" shapeId="0" xr:uid="{5105E05C-7FDD-5848-BB32-6B64EAD90699}">
      <text>
        <t>[Threaded comment]
Your version of Excel allows you to read this threaded comment; however, any edits to it will get removed if the file is opened in a newer version of Excel. Learn more: https://go.microsoft.com/fwlink/?linkid=870924
Comment:
    OEE was estimated using available downtime, production, defect, and machine efficiency data. Since ideal cycle time was not available in the dataset, average machine efficiency was used as a performance proxy.</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python.xml><?xml version="1.0" encoding="utf-8"?>
<python xmlns="http://schemas.microsoft.com/office/spreadsheetml/2023/python">
  <environmentDefinition id="{882DD1B0-6546-4DFA-8A08-902A380B44EA}">
    <initialization>
      <code xml:space="preserve">import numpy as np
import pandas as pd
import matplotlib.pyplot as plt
import seaborn as sns
import statsmodels as sm
import excel
import warnings
warnings.simplefilter('ignore')
excel.set_xl_scalar_conversion(excel.convert_to_scalar)
excel.set_xl_array_conversion(excel.convert_to_dataframe)
</code>
    </initialization>
  </environmentDefinition>
</python>
</file>

<file path=xl/sharedStrings.xml><?xml version="1.0" encoding="utf-8"?>
<sst xmlns="http://schemas.openxmlformats.org/spreadsheetml/2006/main" count="1689" uniqueCount="151">
  <si>
    <t>Date</t>
  </si>
  <si>
    <t>Shift</t>
  </si>
  <si>
    <t>Line_ID</t>
  </si>
  <si>
    <t>Product_Type</t>
  </si>
  <si>
    <t>Units_Produced</t>
  </si>
  <si>
    <t>Defects</t>
  </si>
  <si>
    <t>Downtime_Min</t>
  </si>
  <si>
    <t>Operator_ID</t>
  </si>
  <si>
    <t>Machine_Efficiency (%)</t>
  </si>
  <si>
    <t>2025-05-01</t>
  </si>
  <si>
    <t>2025-05-02</t>
  </si>
  <si>
    <t>2025-05-03</t>
  </si>
  <si>
    <t>2025-05-04</t>
  </si>
  <si>
    <t>2025-05-05</t>
  </si>
  <si>
    <t>2025-05-06</t>
  </si>
  <si>
    <t>2025-05-07</t>
  </si>
  <si>
    <t>2025-05-08</t>
  </si>
  <si>
    <t>2025-05-09</t>
  </si>
  <si>
    <t>2025-05-10</t>
  </si>
  <si>
    <t>2025-05-11</t>
  </si>
  <si>
    <t>2025-05-12</t>
  </si>
  <si>
    <t>2025-05-13</t>
  </si>
  <si>
    <t>2025-05-14</t>
  </si>
  <si>
    <t>2025-05-15</t>
  </si>
  <si>
    <t>2025-05-16</t>
  </si>
  <si>
    <t>2025-05-17</t>
  </si>
  <si>
    <t>2025-05-18</t>
  </si>
  <si>
    <t>2025-05-19</t>
  </si>
  <si>
    <t>2025-05-20</t>
  </si>
  <si>
    <t>2025-05-21</t>
  </si>
  <si>
    <t>2025-05-22</t>
  </si>
  <si>
    <t>2025-05-23</t>
  </si>
  <si>
    <t>2025-05-24</t>
  </si>
  <si>
    <t>2025-05-25</t>
  </si>
  <si>
    <t>2025-05-26</t>
  </si>
  <si>
    <t>2025-05-27</t>
  </si>
  <si>
    <t>2025-05-28</t>
  </si>
  <si>
    <t>2025-05-29</t>
  </si>
  <si>
    <t>2025-05-30</t>
  </si>
  <si>
    <t>Morning</t>
  </si>
  <si>
    <t>Afternoon</t>
  </si>
  <si>
    <t>Night</t>
  </si>
  <si>
    <t>L1</t>
  </si>
  <si>
    <t>L2</t>
  </si>
  <si>
    <t>L3</t>
  </si>
  <si>
    <t>C</t>
  </si>
  <si>
    <t>A</t>
  </si>
  <si>
    <t>B</t>
  </si>
  <si>
    <t>O04</t>
  </si>
  <si>
    <t>O02</t>
  </si>
  <si>
    <t>O01</t>
  </si>
  <si>
    <t>O08</t>
  </si>
  <si>
    <t>O03</t>
  </si>
  <si>
    <t>O10</t>
  </si>
  <si>
    <t>O07</t>
  </si>
  <si>
    <t>O05</t>
  </si>
  <si>
    <t>O06</t>
  </si>
  <si>
    <t>O09</t>
  </si>
  <si>
    <t>Downtime_Efficiency</t>
  </si>
  <si>
    <t>Defect_Rate</t>
  </si>
  <si>
    <t>Avg_Line_efficiency</t>
  </si>
  <si>
    <t>Grand Total</t>
  </si>
  <si>
    <t>Average Units</t>
  </si>
  <si>
    <t>Std. Dev.</t>
  </si>
  <si>
    <t>Productivity Analysis by Shift</t>
  </si>
  <si>
    <t>Average Production by Shift</t>
  </si>
  <si>
    <t>The Night shift had the lowest average production among the three shifts. Although the gap is relatively small, the result may point to less stable operating conditions during that shift. In contrast, the Morning shift showed both the highest average output and the lowest variation, suggesting more consistent production performance.</t>
  </si>
  <si>
    <t>Total Defects</t>
  </si>
  <si>
    <t>Total Units</t>
  </si>
  <si>
    <t>Defect Rate</t>
  </si>
  <si>
    <t>Product Type</t>
  </si>
  <si>
    <t>Defect Analysis</t>
  </si>
  <si>
    <t>The operator-level analysis showed that a small number of operators were responsible for a relatively high number of defects, which may point to differences in training, workload, or task assignment.</t>
  </si>
  <si>
    <t>The quality analysis showed that Product C had the highest defect rate among the three product types, which suggests that its production process may need closer review.</t>
  </si>
  <si>
    <t>Total Units Produced</t>
  </si>
  <si>
    <t>Average of Units Produced</t>
  </si>
  <si>
    <t>Sum of Downtime_Min</t>
  </si>
  <si>
    <t>Line ID</t>
  </si>
  <si>
    <t>Total Downtime (min)</t>
  </si>
  <si>
    <t>Downtime Analysis</t>
  </si>
  <si>
    <t>Line L1 recorded the highest total downtime, which may point to more frequent interruptions or process instability.</t>
  </si>
  <si>
    <t>Average of Machine_Efficiency (%)</t>
  </si>
  <si>
    <t>Average Machine Efficiency by Line</t>
  </si>
  <si>
    <t>The efficiency analysis showed that Line L3 had the lowest average machine efficiency among the three production lines.</t>
  </si>
  <si>
    <t>Avg Downtime</t>
  </si>
  <si>
    <t>p25</t>
  </si>
  <si>
    <t>p75</t>
  </si>
  <si>
    <t>Sum of Units_Produced</t>
  </si>
  <si>
    <t>Sum of Defects</t>
  </si>
  <si>
    <t>Total units Produced</t>
  </si>
  <si>
    <t>Proposed Units</t>
  </si>
  <si>
    <t>Avg Efficiency</t>
  </si>
  <si>
    <t>Total</t>
  </si>
  <si>
    <t>Historical Downtime per Unit</t>
  </si>
  <si>
    <t>Total Historical Downtime</t>
  </si>
  <si>
    <t>Total Historical Units</t>
  </si>
  <si>
    <t>Downtime per Unit</t>
  </si>
  <si>
    <t>Estimated_Downtime</t>
  </si>
  <si>
    <t>Solver</t>
  </si>
  <si>
    <t>The Solver model was used to maximize total production across shifts while keeping estimated downtime within the 400-minute limit for each shift. The results showed that the Night and Morning shifts could support slightly higher production levels than the Afternoon shift under the model assumptions.</t>
  </si>
  <si>
    <t>Column Labels</t>
  </si>
  <si>
    <t>X_L3</t>
  </si>
  <si>
    <t>X_L2</t>
  </si>
  <si>
    <t>X_L1</t>
  </si>
  <si>
    <t>Assignment Check</t>
  </si>
  <si>
    <t>Operator Assignment Optimization</t>
  </si>
  <si>
    <t>The optimized assignment reduced the total number of defects to 541 by matching each operator to the line where they performed best historically.</t>
  </si>
  <si>
    <t>Industrial Engineering case study based on production, quality, downtime, efficiency, and optimization analysis</t>
  </si>
  <si>
    <t>Lowest Productivity Shift</t>
  </si>
  <si>
    <t>Highest Defect Rate Product</t>
  </si>
  <si>
    <t>Top Defect Operator</t>
  </si>
  <si>
    <t>Lowest Efficiency Line</t>
  </si>
  <si>
    <t>Optimized Total Defects</t>
  </si>
  <si>
    <t>Product A</t>
  </si>
  <si>
    <t>Product B</t>
  </si>
  <si>
    <t>Product C</t>
  </si>
  <si>
    <t>Highest Downtime Line (min)</t>
  </si>
  <si>
    <t>Key Insights</t>
  </si>
  <si>
    <t>Night had the lowest average production among the shifts.</t>
  </si>
  <si>
    <t>Line L1 recorded the highest total downtimeduring the study period.</t>
  </si>
  <si>
    <t>Line L3 showed the lowest average machine efficiency.</t>
  </si>
  <si>
    <t>The optimized operator assignment reduced total defects to 541.</t>
  </si>
  <si>
    <t>Binary assignment by line.</t>
  </si>
  <si>
    <t>Objective: Minimize total defects.</t>
  </si>
  <si>
    <t>Final total defects: 541</t>
  </si>
  <si>
    <t>Operator ID</t>
  </si>
  <si>
    <t>% of Total</t>
  </si>
  <si>
    <t>Cumulative %</t>
  </si>
  <si>
    <t>Downtime and Defect Pareto Analysis</t>
  </si>
  <si>
    <t>A small group of operators contributed a large share of the total defects, which makes them a priority area for improvement</t>
  </si>
  <si>
    <t>Total Downtime</t>
  </si>
  <si>
    <t>The Pareto view highlights the small number of dates that contributed the most to total downtime during the study period.</t>
  </si>
  <si>
    <t xml:space="preserve">
Planned Time (min)</t>
  </si>
  <si>
    <t>Downtime (min)</t>
  </si>
  <si>
    <t>Run Time (min)</t>
  </si>
  <si>
    <t>Units Produced</t>
  </si>
  <si>
    <t>Good Units</t>
  </si>
  <si>
    <t>Availability</t>
  </si>
  <si>
    <t>Performance</t>
  </si>
  <si>
    <t>Quality</t>
  </si>
  <si>
    <t>OEE</t>
  </si>
  <si>
    <t>Overall Equipment Effectiveness (OEE) Analysis</t>
  </si>
  <si>
    <t>Estimated OEE by Production Line</t>
  </si>
  <si>
    <t>Line L3 recorded the lowest estimated OEE, suggesting that its overall performance was affected by a combination of downtime, lower operating efficiency, and quality loss.</t>
  </si>
  <si>
    <t>A simplified OEE analysis was added to provide a more complete view of equipment performance. The metric combines availability, performance, and quality, making it more informative than machine efficiency alone.</t>
  </si>
  <si>
    <t>Lowest Estimated OEE Line</t>
  </si>
  <si>
    <t>Pareto analysis was used to identify the small number of contributors responsible for a large share of defects and downtime.</t>
  </si>
  <si>
    <t>Product Defect Rate Reference Table</t>
  </si>
  <si>
    <t>Defect Rate by Product Type</t>
  </si>
  <si>
    <t>Shift-Based Production Optimization</t>
  </si>
  <si>
    <t>Production Process Analysis and Optimization Dashboard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</si>
</sst>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b/>
      <sz val="11"/>
      <color theme="1"/>
      <name val="Arial"/>
      <family val="2"/>
    </font>
    <font>
      <b/>
      <sz val="11"/>
      <color theme="1"/>
      <name val="Calibri"/>
      <family val="2"/>
      <scheme val="minor"/>
    </font>
    <font>
      <sz val="18"/>
      <color theme="0"/>
      <name val="Arial"/>
      <family val="2"/>
    </font>
    <font>
      <b/>
      <sz val="18"/>
      <color theme="0"/>
      <name val="Arial"/>
      <family val="2"/>
    </font>
    <font>
      <sz val="11"/>
      <color theme="1"/>
      <name val="Arial"/>
      <family val="2"/>
    </font>
    <font>
      <sz val="8"/>
      <name val="Calibri"/>
      <family val="2"/>
      <scheme val="minor"/>
    </font>
    <font>
      <sz val="12"/>
      <color theme="1"/>
      <name val="Arial"/>
      <family val="2"/>
    </font>
    <font>
      <sz val="14"/>
      <color theme="1"/>
      <name val="Calibri"/>
      <family val="2"/>
      <scheme val="minor"/>
    </font>
    <font>
      <b/>
      <u/>
      <sz val="14"/>
      <color theme="1"/>
      <name val="Calibri"/>
      <family val="2"/>
      <scheme val="minor"/>
    </font>
    <font>
      <b/>
      <sz val="14"/>
      <color theme="1"/>
      <name val="Calibri"/>
      <family val="2"/>
      <scheme val="minor"/>
    </font>
    <font>
      <b/>
      <u/>
      <sz val="22"/>
      <color theme="1"/>
      <name val="Calibri"/>
      <family val="2"/>
      <scheme val="minor"/>
    </font>
    <font>
      <b/>
      <sz val="12"/>
      <color theme="1"/>
      <name val="Calibri"/>
      <family val="2"/>
      <scheme val="minor"/>
    </font>
    <font>
      <b/>
      <sz val="16"/>
      <color theme="1"/>
      <name val="Arial"/>
      <family val="2"/>
    </font>
  </fonts>
  <fills count="8">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rgb="FFDDE7F2"/>
        <bgColor indexed="64"/>
      </patternFill>
    </fill>
    <fill>
      <patternFill patternType="solid">
        <fgColor rgb="FF002060"/>
        <bgColor indexed="64"/>
      </patternFill>
    </fill>
    <fill>
      <patternFill patternType="solid">
        <fgColor theme="0" tint="-4.9989318521683403E-2"/>
        <bgColor indexed="64"/>
      </patternFill>
    </fill>
    <fill>
      <patternFill patternType="solid">
        <fgColor rgb="FF205295"/>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121">
    <xf numFmtId="0" fontId="0" fillId="0" borderId="0" xfId="0"/>
    <xf numFmtId="1" fontId="0" fillId="0" borderId="0" xfId="0" applyNumberFormat="1"/>
    <xf numFmtId="14" fontId="0" fillId="0" borderId="1" xfId="0" applyNumberFormat="1" applyBorder="1" applyAlignment="1">
      <alignment horizontal="center"/>
    </xf>
    <xf numFmtId="0" fontId="0" fillId="0" borderId="1" xfId="0" applyBorder="1" applyAlignment="1">
      <alignment horizontal="center"/>
    </xf>
    <xf numFmtId="1" fontId="0" fillId="0" borderId="1" xfId="0" applyNumberFormat="1" applyBorder="1" applyAlignment="1">
      <alignment horizontal="center"/>
    </xf>
    <xf numFmtId="0" fontId="0" fillId="0" borderId="2" xfId="0" applyBorder="1" applyAlignment="1">
      <alignment horizontal="center"/>
    </xf>
    <xf numFmtId="0" fontId="0" fillId="0" borderId="0" xfId="0" applyAlignment="1">
      <alignment horizontal="center"/>
    </xf>
    <xf numFmtId="14" fontId="0" fillId="0" borderId="0" xfId="0" applyNumberFormat="1" applyAlignment="1">
      <alignment horizontal="center"/>
    </xf>
    <xf numFmtId="1" fontId="0" fillId="0" borderId="0" xfId="0" applyNumberFormat="1" applyAlignment="1">
      <alignment horizontal="center"/>
    </xf>
    <xf numFmtId="0" fontId="0" fillId="0" borderId="0" xfId="0" pivotButton="1"/>
    <xf numFmtId="0" fontId="0" fillId="0" borderId="0" xfId="0" applyAlignment="1">
      <alignment horizontal="left"/>
    </xf>
    <xf numFmtId="0" fontId="0" fillId="0" borderId="1" xfId="0" pivotButton="1" applyBorder="1"/>
    <xf numFmtId="0" fontId="0" fillId="0" borderId="1" xfId="0" applyBorder="1"/>
    <xf numFmtId="0" fontId="0" fillId="0" borderId="1" xfId="0" applyBorder="1" applyAlignment="1">
      <alignment horizontal="left"/>
    </xf>
    <xf numFmtId="2" fontId="0" fillId="0" borderId="1" xfId="0" applyNumberFormat="1" applyBorder="1" applyAlignment="1">
      <alignment horizontal="center"/>
    </xf>
    <xf numFmtId="0" fontId="0" fillId="4" borderId="1" xfId="0" applyFill="1" applyBorder="1"/>
    <xf numFmtId="49" fontId="0" fillId="0" borderId="1" xfId="0" applyNumberFormat="1" applyBorder="1" applyAlignment="1">
      <alignment horizontal="center"/>
    </xf>
    <xf numFmtId="49" fontId="0" fillId="0" borderId="0" xfId="0" applyNumberFormat="1" applyAlignment="1">
      <alignment horizontal="center"/>
    </xf>
    <xf numFmtId="0" fontId="2" fillId="4" borderId="1" xfId="0" applyFont="1" applyFill="1"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10" fontId="0" fillId="0" borderId="1" xfId="0" applyNumberFormat="1" applyBorder="1" applyAlignment="1">
      <alignment horizontal="center" vertical="center"/>
    </xf>
    <xf numFmtId="0" fontId="0" fillId="0" borderId="0" xfId="0" applyAlignment="1">
      <alignment horizontal="left" vertical="center"/>
    </xf>
    <xf numFmtId="0" fontId="0" fillId="6" borderId="0" xfId="0" applyFill="1"/>
    <xf numFmtId="0" fontId="0" fillId="6" borderId="0" xfId="0" applyFill="1" applyAlignment="1">
      <alignment horizontal="center" vertical="center"/>
    </xf>
    <xf numFmtId="0" fontId="0" fillId="6" borderId="0" xfId="0" applyFill="1" applyAlignment="1">
      <alignment horizontal="left"/>
    </xf>
    <xf numFmtId="1" fontId="0" fillId="6" borderId="0" xfId="0" applyNumberFormat="1" applyFill="1"/>
    <xf numFmtId="1" fontId="0" fillId="0" borderId="1" xfId="0" applyNumberFormat="1" applyBorder="1" applyAlignment="1">
      <alignment horizontal="center" vertical="center"/>
    </xf>
    <xf numFmtId="1" fontId="0" fillId="0" borderId="1" xfId="0" applyNumberFormat="1" applyBorder="1"/>
    <xf numFmtId="0" fontId="4" fillId="6" borderId="0" xfId="0" applyFont="1" applyFill="1" applyAlignment="1">
      <alignment horizontal="center"/>
    </xf>
    <xf numFmtId="0" fontId="0" fillId="6" borderId="0" xfId="0" applyFill="1" applyAlignment="1">
      <alignment horizontal="left" vertical="top"/>
    </xf>
    <xf numFmtId="2" fontId="0" fillId="0" borderId="1" xfId="0" applyNumberFormat="1" applyBorder="1" applyAlignment="1">
      <alignment horizontal="center" vertical="center"/>
    </xf>
    <xf numFmtId="0" fontId="0" fillId="4" borderId="1" xfId="0" applyFill="1" applyBorder="1" applyAlignment="1">
      <alignment horizontal="center" vertical="center"/>
    </xf>
    <xf numFmtId="1" fontId="0" fillId="4" borderId="1" xfId="0" applyNumberFormat="1" applyFill="1" applyBorder="1" applyAlignment="1">
      <alignment horizontal="center" vertical="center"/>
    </xf>
    <xf numFmtId="0" fontId="0" fillId="0" borderId="1" xfId="0" pivotButton="1" applyBorder="1" applyAlignment="1">
      <alignment horizontal="left" vertical="center"/>
    </xf>
    <xf numFmtId="0" fontId="0" fillId="4" borderId="1" xfId="0" applyFill="1" applyBorder="1" applyAlignment="1">
      <alignment horizontal="left" vertical="center"/>
    </xf>
    <xf numFmtId="0" fontId="0" fillId="6" borderId="0" xfId="0" applyFill="1" applyAlignment="1">
      <alignment vertical="top" wrapText="1"/>
    </xf>
    <xf numFmtId="0" fontId="0" fillId="6" borderId="0" xfId="0" applyFill="1" applyAlignment="1">
      <alignment vertical="center" wrapText="1"/>
    </xf>
    <xf numFmtId="0" fontId="0" fillId="0" borderId="1" xfId="0" pivotButton="1" applyBorder="1" applyAlignment="1">
      <alignment horizontal="left"/>
    </xf>
    <xf numFmtId="1" fontId="0" fillId="0" borderId="1" xfId="0" applyNumberFormat="1" applyBorder="1" applyAlignment="1">
      <alignment horizontal="left"/>
    </xf>
    <xf numFmtId="0" fontId="2" fillId="0" borderId="0" xfId="0" applyFont="1"/>
    <xf numFmtId="10" fontId="0" fillId="0" borderId="2" xfId="0" applyNumberFormat="1" applyBorder="1" applyAlignment="1">
      <alignment horizontal="center"/>
    </xf>
    <xf numFmtId="10" fontId="0" fillId="0" borderId="0" xfId="0" applyNumberFormat="1" applyAlignment="1">
      <alignment horizontal="center"/>
    </xf>
    <xf numFmtId="2" fontId="0" fillId="0" borderId="2" xfId="0" applyNumberFormat="1" applyBorder="1" applyAlignment="1">
      <alignment horizontal="center"/>
    </xf>
    <xf numFmtId="2" fontId="0" fillId="0" borderId="0" xfId="0" applyNumberFormat="1" applyAlignment="1">
      <alignment horizontal="center"/>
    </xf>
    <xf numFmtId="0" fontId="0" fillId="0" borderId="1" xfId="0" applyBorder="1" applyAlignment="1">
      <alignment horizontal="left" vertical="center"/>
    </xf>
    <xf numFmtId="2" fontId="0" fillId="0" borderId="1" xfId="0" applyNumberFormat="1" applyBorder="1"/>
    <xf numFmtId="1" fontId="0" fillId="0" borderId="0" xfId="0" applyNumberFormat="1" applyAlignment="1">
      <alignment horizontal="center" vertical="center"/>
    </xf>
    <xf numFmtId="0" fontId="9" fillId="2" borderId="0" xfId="0" applyFont="1" applyFill="1" applyAlignment="1">
      <alignment vertical="center"/>
    </xf>
    <xf numFmtId="0" fontId="10" fillId="0" borderId="0" xfId="0" applyFont="1"/>
    <xf numFmtId="0" fontId="10" fillId="2" borderId="0" xfId="0" applyFont="1" applyFill="1" applyAlignment="1">
      <alignment vertical="center"/>
    </xf>
    <xf numFmtId="2" fontId="10" fillId="6" borderId="0" xfId="0" applyNumberFormat="1" applyFont="1" applyFill="1" applyAlignment="1">
      <alignment horizontal="center" vertical="center"/>
    </xf>
    <xf numFmtId="0" fontId="10" fillId="6" borderId="0" xfId="0" applyFont="1" applyFill="1" applyAlignment="1">
      <alignment horizontal="center"/>
    </xf>
    <xf numFmtId="10" fontId="10" fillId="6" borderId="0" xfId="0" applyNumberFormat="1" applyFont="1" applyFill="1" applyAlignment="1">
      <alignment horizontal="center"/>
    </xf>
    <xf numFmtId="0" fontId="10" fillId="6" borderId="0" xfId="0" applyFont="1" applyFill="1" applyAlignment="1">
      <alignment horizontal="center" vertical="center"/>
    </xf>
    <xf numFmtId="10" fontId="10" fillId="6" borderId="0" xfId="0" applyNumberFormat="1" applyFont="1" applyFill="1" applyAlignment="1">
      <alignment horizontal="center" vertical="center"/>
    </xf>
    <xf numFmtId="0" fontId="10" fillId="4" borderId="5" xfId="0" applyFont="1" applyFill="1" applyBorder="1" applyAlignment="1">
      <alignment horizontal="center" vertical="center"/>
    </xf>
    <xf numFmtId="0" fontId="10" fillId="4" borderId="5" xfId="0" applyFont="1" applyFill="1" applyBorder="1"/>
    <xf numFmtId="0" fontId="10" fillId="2" borderId="5" xfId="0" applyFont="1" applyFill="1" applyBorder="1"/>
    <xf numFmtId="0" fontId="10" fillId="4" borderId="12" xfId="0" applyFont="1" applyFill="1" applyBorder="1"/>
    <xf numFmtId="0" fontId="10" fillId="4" borderId="16" xfId="0" applyFont="1" applyFill="1" applyBorder="1"/>
    <xf numFmtId="0" fontId="10" fillId="4" borderId="17" xfId="0" applyFont="1" applyFill="1" applyBorder="1"/>
    <xf numFmtId="0" fontId="8" fillId="0" borderId="14" xfId="0" applyFont="1" applyBorder="1" applyAlignment="1">
      <alignment horizontal="left" indent="2"/>
    </xf>
    <xf numFmtId="0" fontId="10" fillId="0" borderId="9" xfId="0" applyFont="1" applyBorder="1"/>
    <xf numFmtId="0" fontId="10" fillId="0" borderId="11" xfId="0" applyFont="1" applyBorder="1"/>
    <xf numFmtId="0" fontId="10" fillId="0" borderId="10" xfId="0" applyFont="1" applyBorder="1"/>
    <xf numFmtId="0" fontId="10" fillId="4" borderId="12" xfId="0" applyFont="1" applyFill="1" applyBorder="1" applyAlignment="1">
      <alignment horizontal="left" indent="4"/>
    </xf>
    <xf numFmtId="0" fontId="10" fillId="4" borderId="16" xfId="0" applyFont="1" applyFill="1" applyBorder="1" applyAlignment="1">
      <alignment horizontal="left"/>
    </xf>
    <xf numFmtId="0" fontId="8" fillId="0" borderId="14" xfId="0" applyFont="1" applyBorder="1" applyAlignment="1">
      <alignment horizontal="left" indent="5"/>
    </xf>
    <xf numFmtId="0" fontId="8" fillId="0" borderId="15" xfId="0" applyFont="1" applyBorder="1" applyAlignment="1">
      <alignment horizontal="left" indent="5"/>
    </xf>
    <xf numFmtId="0" fontId="10" fillId="6" borderId="0" xfId="0" applyFont="1" applyFill="1"/>
    <xf numFmtId="0" fontId="10" fillId="6" borderId="0" xfId="0" applyFont="1" applyFill="1" applyAlignment="1">
      <alignment horizontal="left" indent="4"/>
    </xf>
    <xf numFmtId="0" fontId="8" fillId="6" borderId="0" xfId="0" applyFont="1" applyFill="1" applyAlignment="1">
      <alignment horizontal="left" indent="7"/>
    </xf>
    <xf numFmtId="2" fontId="8" fillId="0" borderId="3" xfId="0" applyNumberFormat="1" applyFont="1" applyBorder="1" applyAlignment="1">
      <alignment horizontal="center" vertical="center"/>
    </xf>
    <xf numFmtId="2" fontId="8" fillId="0" borderId="4" xfId="0" applyNumberFormat="1" applyFont="1" applyBorder="1" applyAlignment="1">
      <alignment horizontal="center" vertical="center"/>
    </xf>
    <xf numFmtId="0" fontId="8" fillId="0" borderId="3" xfId="0" applyFont="1" applyBorder="1" applyAlignment="1">
      <alignment horizontal="center"/>
    </xf>
    <xf numFmtId="10" fontId="8" fillId="0" borderId="4" xfId="0" applyNumberFormat="1" applyFont="1" applyBorder="1" applyAlignment="1">
      <alignment horizont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10" fontId="8" fillId="0" borderId="4" xfId="0" applyNumberFormat="1" applyFont="1" applyBorder="1" applyAlignment="1">
      <alignment horizontal="center" vertical="center"/>
    </xf>
    <xf numFmtId="9" fontId="0" fillId="0" borderId="0" xfId="0" applyNumberFormat="1"/>
    <xf numFmtId="9" fontId="0" fillId="0" borderId="1" xfId="0" applyNumberFormat="1" applyBorder="1"/>
    <xf numFmtId="0" fontId="3" fillId="6" borderId="0" xfId="0" applyFont="1" applyFill="1" applyAlignment="1">
      <alignment horizontal="center"/>
    </xf>
    <xf numFmtId="9" fontId="0" fillId="6" borderId="0" xfId="0" applyNumberFormat="1" applyFill="1"/>
    <xf numFmtId="0" fontId="0" fillId="4" borderId="1" xfId="0" applyFill="1" applyBorder="1" applyAlignment="1">
      <alignment wrapText="1"/>
    </xf>
    <xf numFmtId="0" fontId="0" fillId="0" borderId="1" xfId="0" applyBorder="1" applyAlignment="1">
      <alignment wrapText="1"/>
    </xf>
    <xf numFmtId="164" fontId="0" fillId="0" borderId="1" xfId="0" applyNumberFormat="1" applyBorder="1"/>
    <xf numFmtId="164" fontId="8" fillId="0" borderId="4" xfId="0" applyNumberFormat="1" applyFont="1" applyBorder="1" applyAlignment="1">
      <alignment horizontal="center" vertical="center"/>
    </xf>
    <xf numFmtId="0" fontId="8" fillId="0" borderId="13" xfId="0" applyFont="1" applyBorder="1" applyAlignment="1">
      <alignment horizontal="left" indent="2"/>
    </xf>
    <xf numFmtId="0" fontId="10" fillId="0" borderId="18" xfId="0" applyFont="1" applyBorder="1"/>
    <xf numFmtId="0" fontId="10" fillId="0" borderId="8" xfId="0" applyFont="1" applyBorder="1"/>
    <xf numFmtId="10" fontId="0" fillId="0" borderId="1" xfId="0" applyNumberFormat="1" applyBorder="1"/>
    <xf numFmtId="0" fontId="0" fillId="6" borderId="0" xfId="0" applyFill="1" applyAlignment="1">
      <alignment vertical="center"/>
    </xf>
    <xf numFmtId="2" fontId="0" fillId="6" borderId="0" xfId="0" applyNumberFormat="1" applyFill="1"/>
    <xf numFmtId="0" fontId="4" fillId="6" borderId="0" xfId="0" applyFont="1" applyFill="1" applyAlignment="1">
      <alignment horizontal="center" vertical="center"/>
    </xf>
    <xf numFmtId="0" fontId="2" fillId="6" borderId="0" xfId="0" applyFont="1" applyFill="1"/>
    <xf numFmtId="0" fontId="3" fillId="5" borderId="0" xfId="0" applyFont="1" applyFill="1" applyAlignment="1">
      <alignment horizontal="center"/>
    </xf>
    <xf numFmtId="0" fontId="0" fillId="4" borderId="0" xfId="0" applyFill="1" applyAlignment="1">
      <alignment horizontal="center" vertical="center" wrapText="1"/>
    </xf>
    <xf numFmtId="0" fontId="3" fillId="7" borderId="0" xfId="0" applyFont="1" applyFill="1" applyAlignment="1">
      <alignment horizontal="center"/>
    </xf>
    <xf numFmtId="0" fontId="0" fillId="4" borderId="0" xfId="0" applyFill="1" applyAlignment="1">
      <alignment horizontal="left" wrapText="1"/>
    </xf>
    <xf numFmtId="0" fontId="10" fillId="4" borderId="1" xfId="0" applyFont="1" applyFill="1" applyBorder="1" applyAlignment="1">
      <alignment horizontal="center"/>
    </xf>
    <xf numFmtId="0" fontId="0" fillId="4" borderId="0" xfId="0" applyFill="1" applyAlignment="1">
      <alignment horizontal="left" vertical="center" wrapText="1"/>
    </xf>
    <xf numFmtId="0" fontId="1" fillId="3" borderId="1" xfId="0" applyFont="1" applyFill="1" applyBorder="1" applyAlignment="1">
      <alignment horizontal="center"/>
    </xf>
    <xf numFmtId="0" fontId="4" fillId="5" borderId="0" xfId="0" applyFont="1" applyFill="1" applyAlignment="1">
      <alignment horizontal="center"/>
    </xf>
    <xf numFmtId="0" fontId="0" fillId="2" borderId="0" xfId="0" applyFill="1" applyAlignment="1">
      <alignment horizontal="left" vertical="top" wrapText="1" shrinkToFit="1"/>
    </xf>
    <xf numFmtId="0" fontId="5" fillId="2" borderId="0" xfId="0" applyFont="1" applyFill="1" applyAlignment="1">
      <alignment horizontal="left" vertical="center" wrapText="1" shrinkToFit="1"/>
    </xf>
    <xf numFmtId="0" fontId="4" fillId="7" borderId="0" xfId="0" applyFont="1" applyFill="1" applyAlignment="1">
      <alignment horizontal="center" vertical="center"/>
    </xf>
    <xf numFmtId="0" fontId="12" fillId="4" borderId="1" xfId="0" applyFont="1" applyFill="1" applyBorder="1" applyAlignment="1">
      <alignment horizontal="center"/>
    </xf>
    <xf numFmtId="0" fontId="0" fillId="4" borderId="1" xfId="0" applyFill="1" applyBorder="1" applyAlignment="1">
      <alignment horizontal="center"/>
    </xf>
    <xf numFmtId="0" fontId="13" fillId="4" borderId="1" xfId="0" applyFont="1" applyFill="1" applyBorder="1" applyAlignment="1">
      <alignment horizontal="center" vertical="center"/>
    </xf>
    <xf numFmtId="0" fontId="7" fillId="4" borderId="0" xfId="0" applyFont="1" applyFill="1" applyAlignment="1">
      <alignment horizontal="left"/>
    </xf>
    <xf numFmtId="0" fontId="10" fillId="2" borderId="0" xfId="0" applyFont="1" applyFill="1" applyAlignment="1">
      <alignment horizontal="center" vertical="center"/>
    </xf>
    <xf numFmtId="0" fontId="11" fillId="2" borderId="0" xfId="0" applyFont="1" applyFill="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14" xfId="0" applyFont="1" applyBorder="1" applyAlignment="1">
      <alignment horizontal="left" wrapText="1" indent="2"/>
    </xf>
    <xf numFmtId="0" fontId="8" fillId="0" borderId="0" xfId="0" applyFont="1" applyAlignment="1">
      <alignment horizontal="left" wrapText="1" indent="2"/>
    </xf>
    <xf numFmtId="0" fontId="8" fillId="0" borderId="9" xfId="0" applyFont="1" applyBorder="1" applyAlignment="1">
      <alignment horizontal="left" wrapText="1" indent="2"/>
    </xf>
    <xf numFmtId="0" fontId="8" fillId="0" borderId="15" xfId="0" applyFont="1" applyBorder="1" applyAlignment="1">
      <alignment horizontal="left" wrapText="1" indent="2"/>
    </xf>
    <xf numFmtId="0" fontId="8" fillId="0" borderId="11" xfId="0" applyFont="1" applyBorder="1" applyAlignment="1">
      <alignment horizontal="left" wrapText="1" indent="2"/>
    </xf>
    <xf numFmtId="0" fontId="8" fillId="0" borderId="10" xfId="0" applyFont="1" applyBorder="1" applyAlignment="1">
      <alignment horizontal="left" wrapText="1" indent="2"/>
    </xf>
  </cellXfs>
  <cellStyles count="1">
    <cellStyle name="Normal" xfId="0" builtinId="0"/>
  </cellStyles>
  <dxfs count="101">
    <dxf>
      <font>
        <color rgb="FF006100"/>
      </font>
      <fill>
        <patternFill>
          <bgColor rgb="FFC6EFCE"/>
        </patternFill>
      </fill>
    </dxf>
    <dxf>
      <font>
        <color rgb="FF9C0006"/>
      </font>
      <fill>
        <patternFill>
          <bgColor rgb="FFFFC7CE"/>
        </patternFill>
      </fill>
    </dxf>
    <dxf>
      <font>
        <color rgb="FF9C5700"/>
      </font>
      <fill>
        <patternFill>
          <bgColor rgb="FFFFEB9C"/>
        </patternFill>
      </fill>
    </dxf>
    <dxf>
      <alignment horizontal="center"/>
    </dxf>
    <dxf>
      <alignment vertic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2" formatCode="0.0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2" formatCode="0.00"/>
    </dxf>
    <dxf>
      <numFmt numFmtId="2" formatCode="0.0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dxf>
    <dxf>
      <alignment horizontal="left"/>
    </dxf>
    <dxf>
      <alignment horizontal="left"/>
    </dxf>
    <dxf>
      <alignment horizontal="left"/>
    </dxf>
    <dxf>
      <alignment horizontal="left"/>
    </dxf>
    <dxf>
      <alignment horizontal="left"/>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 formatCode="0"/>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horizontal="center"/>
    </dxf>
    <dxf>
      <alignment horizontal="center"/>
    </dxf>
    <dxf>
      <numFmt numFmtId="30" formatCode="@"/>
    </dxf>
    <dxf>
      <alignment horizontal="left"/>
    </dxf>
    <dxf>
      <alignment horizontal="left"/>
    </dxf>
    <dxf>
      <alignment vertical="center"/>
    </dxf>
    <dxf>
      <alignment vertical="center"/>
    </dxf>
    <dxf>
      <alignment horizontal="center"/>
    </dxf>
    <dxf>
      <numFmt numFmtId="2" formatCode="0.00"/>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30" formatCode="@"/>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19" formatCode="yyyy/mm/dd"/>
      <alignment horizontal="center" vertical="bottom" textRotation="0" wrapText="0" indent="0" justifyLastLine="0" shrinkToFit="0" readingOrder="0"/>
    </dxf>
    <dxf>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bottom" textRotation="0" wrapText="0" indent="0" justifyLastLine="0" shrinkToFit="0" readingOrder="0"/>
      <border diagonalUp="0" diagonalDown="0" outline="0">
        <left style="thin">
          <color auto="1"/>
        </left>
        <right style="thin">
          <color auto="1"/>
        </right>
        <top/>
        <bottom/>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s>
  <tableStyles count="0" defaultTableStyle="TableStyleMedium9" defaultPivotStyle="PivotStyleLight16"/>
  <colors>
    <mruColors>
      <color rgb="FF205295"/>
      <color rgb="FFDDE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eetMetadata" Target="metadata.xml"/><Relationship Id="rId3" Type="http://schemas.openxmlformats.org/officeDocument/2006/relationships/worksheet" Target="worksheets/sheet3.xml"/><Relationship Id="rId21" Type="http://schemas.microsoft.com/office/2023/09/relationships/Python" Target="pyth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1"/>
              <a:t>Pareto Chart of Defects by Operator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CA"/>
        </a:p>
      </c:txPr>
    </c:title>
    <c:autoTitleDeleted val="0"/>
    <c:plotArea>
      <c:layout/>
      <c:barChart>
        <c:barDir val="col"/>
        <c:grouping val="clustered"/>
        <c:varyColors val="0"/>
        <c:ser>
          <c:idx val="0"/>
          <c:order val="0"/>
          <c:tx>
            <c:strRef>
              <c:f>Pareto_Analysis!$E$3</c:f>
              <c:strCache>
                <c:ptCount val="1"/>
                <c:pt idx="0">
                  <c:v>Total Defects</c:v>
                </c:pt>
              </c:strCache>
            </c:strRef>
          </c:tx>
          <c:spPr>
            <a:solidFill>
              <a:schemeClr val="accent1"/>
            </a:solidFill>
            <a:ln>
              <a:noFill/>
            </a:ln>
            <a:effectLst/>
          </c:spPr>
          <c:invertIfNegative val="0"/>
          <c:cat>
            <c:strRef>
              <c:f>Pareto_Analysis!$D$4:$D$13</c:f>
              <c:strCache>
                <c:ptCount val="10"/>
                <c:pt idx="0">
                  <c:v>O10</c:v>
                </c:pt>
                <c:pt idx="1">
                  <c:v>O01</c:v>
                </c:pt>
                <c:pt idx="2">
                  <c:v>O09</c:v>
                </c:pt>
                <c:pt idx="3">
                  <c:v>O05</c:v>
                </c:pt>
                <c:pt idx="4">
                  <c:v>O03</c:v>
                </c:pt>
                <c:pt idx="5">
                  <c:v>O02</c:v>
                </c:pt>
                <c:pt idx="6">
                  <c:v>O07</c:v>
                </c:pt>
                <c:pt idx="7">
                  <c:v>O04</c:v>
                </c:pt>
                <c:pt idx="8">
                  <c:v>O06</c:v>
                </c:pt>
                <c:pt idx="9">
                  <c:v>O08</c:v>
                </c:pt>
              </c:strCache>
            </c:strRef>
          </c:cat>
          <c:val>
            <c:numRef>
              <c:f>Pareto_Analysis!$E$4:$E$13</c:f>
              <c:numCache>
                <c:formatCode>General</c:formatCode>
                <c:ptCount val="10"/>
                <c:pt idx="0">
                  <c:v>338</c:v>
                </c:pt>
                <c:pt idx="1">
                  <c:v>324</c:v>
                </c:pt>
                <c:pt idx="2">
                  <c:v>272</c:v>
                </c:pt>
                <c:pt idx="3">
                  <c:v>241</c:v>
                </c:pt>
                <c:pt idx="4">
                  <c:v>224</c:v>
                </c:pt>
                <c:pt idx="5">
                  <c:v>220</c:v>
                </c:pt>
                <c:pt idx="6">
                  <c:v>216</c:v>
                </c:pt>
                <c:pt idx="7">
                  <c:v>205</c:v>
                </c:pt>
                <c:pt idx="8">
                  <c:v>165</c:v>
                </c:pt>
                <c:pt idx="9">
                  <c:v>119</c:v>
                </c:pt>
              </c:numCache>
            </c:numRef>
          </c:val>
          <c:extLst>
            <c:ext xmlns:c16="http://schemas.microsoft.com/office/drawing/2014/chart" uri="{C3380CC4-5D6E-409C-BE32-E72D297353CC}">
              <c16:uniqueId val="{00000000-5C18-FC4F-9BDD-08778A593BFE}"/>
            </c:ext>
          </c:extLst>
        </c:ser>
        <c:dLbls>
          <c:showLegendKey val="0"/>
          <c:showVal val="0"/>
          <c:showCatName val="0"/>
          <c:showSerName val="0"/>
          <c:showPercent val="0"/>
          <c:showBubbleSize val="0"/>
        </c:dLbls>
        <c:gapWidth val="150"/>
        <c:axId val="1445325760"/>
        <c:axId val="1445316352"/>
      </c:barChart>
      <c:lineChart>
        <c:grouping val="standard"/>
        <c:varyColors val="0"/>
        <c:ser>
          <c:idx val="1"/>
          <c:order val="1"/>
          <c:tx>
            <c:strRef>
              <c:f>Pareto_Analysis!$G$3</c:f>
              <c:strCache>
                <c:ptCount val="1"/>
                <c:pt idx="0">
                  <c:v>Cumulative %</c:v>
                </c:pt>
              </c:strCache>
            </c:strRef>
          </c:tx>
          <c:spPr>
            <a:ln w="28575" cap="rnd">
              <a:solidFill>
                <a:schemeClr val="accent2"/>
              </a:solidFill>
              <a:round/>
            </a:ln>
            <a:effectLst/>
          </c:spPr>
          <c:marker>
            <c:symbol val="none"/>
          </c:marker>
          <c:cat>
            <c:strRef>
              <c:f>Pareto_Analysis!$D$4:$D$13</c:f>
              <c:strCache>
                <c:ptCount val="10"/>
                <c:pt idx="0">
                  <c:v>O10</c:v>
                </c:pt>
                <c:pt idx="1">
                  <c:v>O01</c:v>
                </c:pt>
                <c:pt idx="2">
                  <c:v>O09</c:v>
                </c:pt>
                <c:pt idx="3">
                  <c:v>O05</c:v>
                </c:pt>
                <c:pt idx="4">
                  <c:v>O03</c:v>
                </c:pt>
                <c:pt idx="5">
                  <c:v>O02</c:v>
                </c:pt>
                <c:pt idx="6">
                  <c:v>O07</c:v>
                </c:pt>
                <c:pt idx="7">
                  <c:v>O04</c:v>
                </c:pt>
                <c:pt idx="8">
                  <c:v>O06</c:v>
                </c:pt>
                <c:pt idx="9">
                  <c:v>O08</c:v>
                </c:pt>
              </c:strCache>
            </c:strRef>
          </c:cat>
          <c:val>
            <c:numRef>
              <c:f>Pareto_Analysis!$G$4:$G$13</c:f>
              <c:numCache>
                <c:formatCode>0%</c:formatCode>
                <c:ptCount val="10"/>
                <c:pt idx="0">
                  <c:v>0.14543889845094665</c:v>
                </c:pt>
                <c:pt idx="1">
                  <c:v>0.28485370051635112</c:v>
                </c:pt>
                <c:pt idx="2">
                  <c:v>0.4018932874354561</c:v>
                </c:pt>
                <c:pt idx="3">
                  <c:v>0.50559380378657481</c:v>
                </c:pt>
                <c:pt idx="4">
                  <c:v>0.60197934595524949</c:v>
                </c:pt>
                <c:pt idx="5">
                  <c:v>0.696643717728055</c:v>
                </c:pt>
                <c:pt idx="6">
                  <c:v>0.78958691910499135</c:v>
                </c:pt>
                <c:pt idx="7">
                  <c:v>0.87779690189328741</c:v>
                </c:pt>
                <c:pt idx="8">
                  <c:v>0.9487951807228916</c:v>
                </c:pt>
                <c:pt idx="9">
                  <c:v>1</c:v>
                </c:pt>
              </c:numCache>
            </c:numRef>
          </c:val>
          <c:smooth val="0"/>
          <c:extLst>
            <c:ext xmlns:c16="http://schemas.microsoft.com/office/drawing/2014/chart" uri="{C3380CC4-5D6E-409C-BE32-E72D297353CC}">
              <c16:uniqueId val="{00000001-5C18-FC4F-9BDD-08778A593BFE}"/>
            </c:ext>
          </c:extLst>
        </c:ser>
        <c:dLbls>
          <c:showLegendKey val="0"/>
          <c:showVal val="0"/>
          <c:showCatName val="0"/>
          <c:showSerName val="0"/>
          <c:showPercent val="0"/>
          <c:showBubbleSize val="0"/>
        </c:dLbls>
        <c:marker val="1"/>
        <c:smooth val="0"/>
        <c:axId val="1445268992"/>
        <c:axId val="1445267200"/>
      </c:lineChart>
      <c:catAx>
        <c:axId val="1445325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5316352"/>
        <c:crosses val="autoZero"/>
        <c:auto val="1"/>
        <c:lblAlgn val="ctr"/>
        <c:lblOffset val="100"/>
        <c:noMultiLvlLbl val="0"/>
      </c:catAx>
      <c:valAx>
        <c:axId val="144531635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5325760"/>
        <c:crosses val="autoZero"/>
        <c:crossBetween val="between"/>
      </c:valAx>
      <c:valAx>
        <c:axId val="1445267200"/>
        <c:scaling>
          <c:orientation val="minMax"/>
          <c:max val="1"/>
        </c:scaling>
        <c:delete val="0"/>
        <c:axPos val="r"/>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45268992"/>
        <c:crosses val="max"/>
        <c:crossBetween val="between"/>
      </c:valAx>
      <c:catAx>
        <c:axId val="1445268992"/>
        <c:scaling>
          <c:orientation val="minMax"/>
        </c:scaling>
        <c:delete val="1"/>
        <c:axPos val="b"/>
        <c:numFmt formatCode="General" sourceLinked="1"/>
        <c:majorTickMark val="out"/>
        <c:minorTickMark val="none"/>
        <c:tickLblPos val="nextTo"/>
        <c:crossAx val="1445267200"/>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1"/>
              <a:t>Downtime Pareto Analysis by Date</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CA"/>
        </a:p>
      </c:txPr>
    </c:title>
    <c:autoTitleDeleted val="0"/>
    <c:plotArea>
      <c:layout/>
      <c:barChart>
        <c:barDir val="col"/>
        <c:grouping val="clustered"/>
        <c:varyColors val="0"/>
        <c:ser>
          <c:idx val="0"/>
          <c:order val="0"/>
          <c:tx>
            <c:strRef>
              <c:f>Pareto_Analysis!$E$34</c:f>
              <c:strCache>
                <c:ptCount val="1"/>
                <c:pt idx="0">
                  <c:v>Total Downtime</c:v>
                </c:pt>
              </c:strCache>
            </c:strRef>
          </c:tx>
          <c:spPr>
            <a:solidFill>
              <a:schemeClr val="accent1"/>
            </a:solidFill>
            <a:ln>
              <a:noFill/>
            </a:ln>
            <a:effectLst/>
          </c:spPr>
          <c:invertIfNegative val="0"/>
          <c:cat>
            <c:strRef>
              <c:f>Pareto_Analysis!$D$35:$D$64</c:f>
              <c:strCache>
                <c:ptCount val="30"/>
                <c:pt idx="0">
                  <c:v>2025-05-18</c:v>
                </c:pt>
                <c:pt idx="1">
                  <c:v>2025-05-17</c:v>
                </c:pt>
                <c:pt idx="2">
                  <c:v>2025-05-29</c:v>
                </c:pt>
                <c:pt idx="3">
                  <c:v>2025-05-01</c:v>
                </c:pt>
                <c:pt idx="4">
                  <c:v>2025-05-30</c:v>
                </c:pt>
                <c:pt idx="5">
                  <c:v>2025-05-05</c:v>
                </c:pt>
                <c:pt idx="6">
                  <c:v>2025-05-11</c:v>
                </c:pt>
                <c:pt idx="7">
                  <c:v>2025-05-10</c:v>
                </c:pt>
                <c:pt idx="8">
                  <c:v>2025-05-15</c:v>
                </c:pt>
                <c:pt idx="9">
                  <c:v>2025-05-08</c:v>
                </c:pt>
                <c:pt idx="10">
                  <c:v>2025-05-27</c:v>
                </c:pt>
                <c:pt idx="11">
                  <c:v>2025-05-12</c:v>
                </c:pt>
                <c:pt idx="12">
                  <c:v>2025-05-20</c:v>
                </c:pt>
                <c:pt idx="13">
                  <c:v>2025-05-28</c:v>
                </c:pt>
                <c:pt idx="14">
                  <c:v>2025-05-24</c:v>
                </c:pt>
                <c:pt idx="15">
                  <c:v>2025-05-04</c:v>
                </c:pt>
                <c:pt idx="16">
                  <c:v>2025-05-09</c:v>
                </c:pt>
                <c:pt idx="17">
                  <c:v>2025-05-06</c:v>
                </c:pt>
                <c:pt idx="18">
                  <c:v>2025-05-14</c:v>
                </c:pt>
                <c:pt idx="19">
                  <c:v>2025-05-19</c:v>
                </c:pt>
                <c:pt idx="20">
                  <c:v>2025-05-22</c:v>
                </c:pt>
                <c:pt idx="21">
                  <c:v>2025-05-26</c:v>
                </c:pt>
                <c:pt idx="22">
                  <c:v>2025-05-03</c:v>
                </c:pt>
                <c:pt idx="23">
                  <c:v>2025-05-25</c:v>
                </c:pt>
                <c:pt idx="24">
                  <c:v>2025-05-21</c:v>
                </c:pt>
                <c:pt idx="25">
                  <c:v>2025-05-13</c:v>
                </c:pt>
                <c:pt idx="26">
                  <c:v>2025-05-07</c:v>
                </c:pt>
                <c:pt idx="27">
                  <c:v>2025-05-16</c:v>
                </c:pt>
                <c:pt idx="28">
                  <c:v>2025-05-23</c:v>
                </c:pt>
                <c:pt idx="29">
                  <c:v>2025-05-02</c:v>
                </c:pt>
              </c:strCache>
            </c:strRef>
          </c:cat>
          <c:val>
            <c:numRef>
              <c:f>Pareto_Analysis!$E$35:$E$64</c:f>
              <c:numCache>
                <c:formatCode>General</c:formatCode>
                <c:ptCount val="30"/>
                <c:pt idx="0">
                  <c:v>357</c:v>
                </c:pt>
                <c:pt idx="1">
                  <c:v>356</c:v>
                </c:pt>
                <c:pt idx="2">
                  <c:v>350</c:v>
                </c:pt>
                <c:pt idx="3">
                  <c:v>343</c:v>
                </c:pt>
                <c:pt idx="4">
                  <c:v>334</c:v>
                </c:pt>
                <c:pt idx="5">
                  <c:v>316</c:v>
                </c:pt>
                <c:pt idx="6">
                  <c:v>312</c:v>
                </c:pt>
                <c:pt idx="7">
                  <c:v>309</c:v>
                </c:pt>
                <c:pt idx="8">
                  <c:v>302</c:v>
                </c:pt>
                <c:pt idx="9">
                  <c:v>301</c:v>
                </c:pt>
                <c:pt idx="10">
                  <c:v>293</c:v>
                </c:pt>
                <c:pt idx="11">
                  <c:v>282</c:v>
                </c:pt>
                <c:pt idx="12">
                  <c:v>282</c:v>
                </c:pt>
                <c:pt idx="13">
                  <c:v>276</c:v>
                </c:pt>
                <c:pt idx="14">
                  <c:v>275</c:v>
                </c:pt>
                <c:pt idx="15">
                  <c:v>273</c:v>
                </c:pt>
                <c:pt idx="16">
                  <c:v>269</c:v>
                </c:pt>
                <c:pt idx="17">
                  <c:v>268</c:v>
                </c:pt>
                <c:pt idx="18">
                  <c:v>267</c:v>
                </c:pt>
                <c:pt idx="19">
                  <c:v>265</c:v>
                </c:pt>
                <c:pt idx="20">
                  <c:v>264</c:v>
                </c:pt>
                <c:pt idx="21">
                  <c:v>263</c:v>
                </c:pt>
                <c:pt idx="22">
                  <c:v>243</c:v>
                </c:pt>
                <c:pt idx="23">
                  <c:v>234</c:v>
                </c:pt>
                <c:pt idx="24">
                  <c:v>229</c:v>
                </c:pt>
                <c:pt idx="25">
                  <c:v>225</c:v>
                </c:pt>
                <c:pt idx="26">
                  <c:v>219</c:v>
                </c:pt>
                <c:pt idx="27">
                  <c:v>206</c:v>
                </c:pt>
                <c:pt idx="28">
                  <c:v>204</c:v>
                </c:pt>
                <c:pt idx="29">
                  <c:v>197</c:v>
                </c:pt>
              </c:numCache>
            </c:numRef>
          </c:val>
          <c:extLst>
            <c:ext xmlns:c16="http://schemas.microsoft.com/office/drawing/2014/chart" uri="{C3380CC4-5D6E-409C-BE32-E72D297353CC}">
              <c16:uniqueId val="{00000000-90E3-344B-B8FD-50A89820BA45}"/>
            </c:ext>
          </c:extLst>
        </c:ser>
        <c:dLbls>
          <c:showLegendKey val="0"/>
          <c:showVal val="0"/>
          <c:showCatName val="0"/>
          <c:showSerName val="0"/>
          <c:showPercent val="0"/>
          <c:showBubbleSize val="0"/>
        </c:dLbls>
        <c:gapWidth val="150"/>
        <c:axId val="1403259520"/>
        <c:axId val="1396586944"/>
      </c:barChart>
      <c:lineChart>
        <c:grouping val="standard"/>
        <c:varyColors val="0"/>
        <c:ser>
          <c:idx val="1"/>
          <c:order val="1"/>
          <c:tx>
            <c:strRef>
              <c:f>Pareto_Analysis!$G$34</c:f>
              <c:strCache>
                <c:ptCount val="1"/>
                <c:pt idx="0">
                  <c:v>Cumulative %</c:v>
                </c:pt>
              </c:strCache>
            </c:strRef>
          </c:tx>
          <c:spPr>
            <a:ln w="28575" cap="rnd">
              <a:solidFill>
                <a:schemeClr val="accent2"/>
              </a:solidFill>
              <a:round/>
            </a:ln>
            <a:effectLst/>
          </c:spPr>
          <c:marker>
            <c:symbol val="none"/>
          </c:marker>
          <c:cat>
            <c:strRef>
              <c:f>Pareto_Analysis!$D$35:$D$64</c:f>
              <c:strCache>
                <c:ptCount val="30"/>
                <c:pt idx="0">
                  <c:v>2025-05-18</c:v>
                </c:pt>
                <c:pt idx="1">
                  <c:v>2025-05-17</c:v>
                </c:pt>
                <c:pt idx="2">
                  <c:v>2025-05-29</c:v>
                </c:pt>
                <c:pt idx="3">
                  <c:v>2025-05-01</c:v>
                </c:pt>
                <c:pt idx="4">
                  <c:v>2025-05-30</c:v>
                </c:pt>
                <c:pt idx="5">
                  <c:v>2025-05-05</c:v>
                </c:pt>
                <c:pt idx="6">
                  <c:v>2025-05-11</c:v>
                </c:pt>
                <c:pt idx="7">
                  <c:v>2025-05-10</c:v>
                </c:pt>
                <c:pt idx="8">
                  <c:v>2025-05-15</c:v>
                </c:pt>
                <c:pt idx="9">
                  <c:v>2025-05-08</c:v>
                </c:pt>
                <c:pt idx="10">
                  <c:v>2025-05-27</c:v>
                </c:pt>
                <c:pt idx="11">
                  <c:v>2025-05-12</c:v>
                </c:pt>
                <c:pt idx="12">
                  <c:v>2025-05-20</c:v>
                </c:pt>
                <c:pt idx="13">
                  <c:v>2025-05-28</c:v>
                </c:pt>
                <c:pt idx="14">
                  <c:v>2025-05-24</c:v>
                </c:pt>
                <c:pt idx="15">
                  <c:v>2025-05-04</c:v>
                </c:pt>
                <c:pt idx="16">
                  <c:v>2025-05-09</c:v>
                </c:pt>
                <c:pt idx="17">
                  <c:v>2025-05-06</c:v>
                </c:pt>
                <c:pt idx="18">
                  <c:v>2025-05-14</c:v>
                </c:pt>
                <c:pt idx="19">
                  <c:v>2025-05-19</c:v>
                </c:pt>
                <c:pt idx="20">
                  <c:v>2025-05-22</c:v>
                </c:pt>
                <c:pt idx="21">
                  <c:v>2025-05-26</c:v>
                </c:pt>
                <c:pt idx="22">
                  <c:v>2025-05-03</c:v>
                </c:pt>
                <c:pt idx="23">
                  <c:v>2025-05-25</c:v>
                </c:pt>
                <c:pt idx="24">
                  <c:v>2025-05-21</c:v>
                </c:pt>
                <c:pt idx="25">
                  <c:v>2025-05-13</c:v>
                </c:pt>
                <c:pt idx="26">
                  <c:v>2025-05-07</c:v>
                </c:pt>
                <c:pt idx="27">
                  <c:v>2025-05-16</c:v>
                </c:pt>
                <c:pt idx="28">
                  <c:v>2025-05-23</c:v>
                </c:pt>
                <c:pt idx="29">
                  <c:v>2025-05-02</c:v>
                </c:pt>
              </c:strCache>
            </c:strRef>
          </c:cat>
          <c:val>
            <c:numRef>
              <c:f>Pareto_Analysis!$G$35:$G$64</c:f>
              <c:numCache>
                <c:formatCode>0%</c:formatCode>
                <c:ptCount val="30"/>
                <c:pt idx="0">
                  <c:v>4.2939619918210249E-2</c:v>
                </c:pt>
                <c:pt idx="1">
                  <c:v>8.5758960789030558E-2</c:v>
                </c:pt>
                <c:pt idx="2">
                  <c:v>0.12785662737551118</c:v>
                </c:pt>
                <c:pt idx="3">
                  <c:v>0.1691123406302622</c:v>
                </c:pt>
                <c:pt idx="4">
                  <c:v>0.20928554245850373</c:v>
                </c:pt>
                <c:pt idx="5">
                  <c:v>0.24729372143372624</c:v>
                </c:pt>
                <c:pt idx="6">
                  <c:v>0.284820784219389</c:v>
                </c:pt>
                <c:pt idx="7">
                  <c:v>0.32198700986288192</c:v>
                </c:pt>
                <c:pt idx="8">
                  <c:v>0.3583112821746452</c:v>
                </c:pt>
                <c:pt idx="9">
                  <c:v>0.39451527543901854</c:v>
                </c:pt>
                <c:pt idx="10">
                  <c:v>0.42975703632427231</c:v>
                </c:pt>
                <c:pt idx="11">
                  <c:v>0.46367572768823673</c:v>
                </c:pt>
                <c:pt idx="12">
                  <c:v>0.49759441905220114</c:v>
                </c:pt>
                <c:pt idx="13">
                  <c:v>0.53079143613182589</c:v>
                </c:pt>
                <c:pt idx="14">
                  <c:v>0.56386817416406065</c:v>
                </c:pt>
                <c:pt idx="15">
                  <c:v>0.59670435410151557</c:v>
                </c:pt>
                <c:pt idx="16">
                  <c:v>0.62905941784941066</c:v>
                </c:pt>
                <c:pt idx="17">
                  <c:v>0.66129420254991578</c:v>
                </c:pt>
                <c:pt idx="18">
                  <c:v>0.69340870820303102</c:v>
                </c:pt>
                <c:pt idx="19">
                  <c:v>0.7252826557613663</c:v>
                </c:pt>
                <c:pt idx="20">
                  <c:v>0.75703632427231171</c:v>
                </c:pt>
                <c:pt idx="21">
                  <c:v>0.78866971373586714</c:v>
                </c:pt>
                <c:pt idx="22">
                  <c:v>0.81789752225162371</c:v>
                </c:pt>
                <c:pt idx="23">
                  <c:v>0.84604281934087078</c:v>
                </c:pt>
                <c:pt idx="24">
                  <c:v>0.87358672119316816</c:v>
                </c:pt>
                <c:pt idx="25">
                  <c:v>0.90064950685590572</c:v>
                </c:pt>
                <c:pt idx="26">
                  <c:v>0.92699061823430362</c:v>
                </c:pt>
                <c:pt idx="27">
                  <c:v>0.9517681019966322</c:v>
                </c:pt>
                <c:pt idx="28">
                  <c:v>0.97630502766418092</c:v>
                </c:pt>
                <c:pt idx="29">
                  <c:v>1</c:v>
                </c:pt>
              </c:numCache>
            </c:numRef>
          </c:val>
          <c:smooth val="0"/>
          <c:extLst>
            <c:ext xmlns:c16="http://schemas.microsoft.com/office/drawing/2014/chart" uri="{C3380CC4-5D6E-409C-BE32-E72D297353CC}">
              <c16:uniqueId val="{00000001-90E3-344B-B8FD-50A89820BA45}"/>
            </c:ext>
          </c:extLst>
        </c:ser>
        <c:dLbls>
          <c:showLegendKey val="0"/>
          <c:showVal val="0"/>
          <c:showCatName val="0"/>
          <c:showSerName val="0"/>
          <c:showPercent val="0"/>
          <c:showBubbleSize val="0"/>
        </c:dLbls>
        <c:marker val="1"/>
        <c:smooth val="0"/>
        <c:axId val="1482089216"/>
        <c:axId val="1482087424"/>
      </c:lineChart>
      <c:catAx>
        <c:axId val="1403259520"/>
        <c:scaling>
          <c:orientation val="minMax"/>
        </c:scaling>
        <c:delete val="0"/>
        <c:axPos val="b"/>
        <c:numFmt formatCode="mm/dd"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96586944"/>
        <c:crosses val="autoZero"/>
        <c:auto val="1"/>
        <c:lblAlgn val="ctr"/>
        <c:lblOffset val="100"/>
        <c:noMultiLvlLbl val="0"/>
      </c:catAx>
      <c:valAx>
        <c:axId val="13965869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3259520"/>
        <c:crosses val="autoZero"/>
        <c:crossBetween val="between"/>
      </c:valAx>
      <c:valAx>
        <c:axId val="1482087424"/>
        <c:scaling>
          <c:orientation val="minMax"/>
          <c:max val="1"/>
        </c:scaling>
        <c:delete val="0"/>
        <c:axPos val="r"/>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2089216"/>
        <c:crosses val="max"/>
        <c:crossBetween val="between"/>
      </c:valAx>
      <c:catAx>
        <c:axId val="1482089216"/>
        <c:scaling>
          <c:orientation val="minMax"/>
        </c:scaling>
        <c:delete val="1"/>
        <c:axPos val="b"/>
        <c:numFmt formatCode="General" sourceLinked="1"/>
        <c:majorTickMark val="out"/>
        <c:minorTickMark val="none"/>
        <c:tickLblPos val="nextTo"/>
        <c:crossAx val="148208742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1"/>
              <a:t>Estimated OEE by Line</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CA"/>
        </a:p>
      </c:txPr>
    </c:title>
    <c:autoTitleDeleted val="0"/>
    <c:plotArea>
      <c:layout/>
      <c:barChart>
        <c:barDir val="bar"/>
        <c:grouping val="clustered"/>
        <c:varyColors val="0"/>
        <c:ser>
          <c:idx val="0"/>
          <c:order val="0"/>
          <c:tx>
            <c:strRef>
              <c:f>OEE_Analysis!$K$4</c:f>
              <c:strCache>
                <c:ptCount val="1"/>
                <c:pt idx="0">
                  <c:v>OEE</c:v>
                </c:pt>
              </c:strCache>
            </c:strRef>
          </c:tx>
          <c:spPr>
            <a:solidFill>
              <a:srgbClr val="205295"/>
            </a:solidFill>
            <a:ln>
              <a:noFill/>
            </a:ln>
            <a:effectLst/>
          </c:spPr>
          <c:invertIfNegative val="0"/>
          <c:cat>
            <c:strRef>
              <c:f>OEE_Analysis!$A$5:$A$7</c:f>
              <c:strCache>
                <c:ptCount val="3"/>
                <c:pt idx="0">
                  <c:v>L1</c:v>
                </c:pt>
                <c:pt idx="1">
                  <c:v>L2</c:v>
                </c:pt>
                <c:pt idx="2">
                  <c:v>L3</c:v>
                </c:pt>
              </c:strCache>
            </c:strRef>
          </c:cat>
          <c:val>
            <c:numRef>
              <c:f>OEE_Analysis!$K$5:$K$7</c:f>
              <c:numCache>
                <c:formatCode>0.0</c:formatCode>
                <c:ptCount val="3"/>
                <c:pt idx="0">
                  <c:v>76.84233274998968</c:v>
                </c:pt>
                <c:pt idx="1">
                  <c:v>76.977326271073849</c:v>
                </c:pt>
                <c:pt idx="2">
                  <c:v>76.126555597132025</c:v>
                </c:pt>
              </c:numCache>
            </c:numRef>
          </c:val>
          <c:extLst>
            <c:ext xmlns:c16="http://schemas.microsoft.com/office/drawing/2014/chart" uri="{C3380CC4-5D6E-409C-BE32-E72D297353CC}">
              <c16:uniqueId val="{00000000-E675-C64D-868C-39B73F3C65D6}"/>
            </c:ext>
          </c:extLst>
        </c:ser>
        <c:dLbls>
          <c:showLegendKey val="0"/>
          <c:showVal val="0"/>
          <c:showCatName val="0"/>
          <c:showSerName val="0"/>
          <c:showPercent val="0"/>
          <c:showBubbleSize val="0"/>
        </c:dLbls>
        <c:gapWidth val="182"/>
        <c:axId val="845214847"/>
        <c:axId val="845215295"/>
      </c:barChart>
      <c:catAx>
        <c:axId val="84521484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45215295"/>
        <c:crosses val="autoZero"/>
        <c:auto val="1"/>
        <c:lblAlgn val="ctr"/>
        <c:lblOffset val="100"/>
        <c:noMultiLvlLbl val="0"/>
      </c:catAx>
      <c:valAx>
        <c:axId val="845215295"/>
        <c:scaling>
          <c:orientation val="minMax"/>
          <c:max val="100"/>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4521484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[main.xlsx]Shift_Analysis!PivotTable1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1"/>
              <a:t>Average Production by Shift</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CA"/>
        </a:p>
      </c:txPr>
    </c:title>
    <c:autoTitleDeleted val="0"/>
    <c:pivotFmts>
      <c:pivotFmt>
        <c:idx val="0"/>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Shift_Analysis!$B$4</c:f>
              <c:strCache>
                <c:ptCount val="1"/>
                <c:pt idx="0">
                  <c:v>Total</c:v>
                </c:pt>
              </c:strCache>
            </c:strRef>
          </c:tx>
          <c:spPr>
            <a:solidFill>
              <a:srgbClr val="205295"/>
            </a:solidFill>
            <a:ln>
              <a:noFill/>
            </a:ln>
            <a:effectLst/>
          </c:spPr>
          <c:invertIfNegative val="0"/>
          <c:cat>
            <c:strRef>
              <c:f>Shift_Analysis!$A$5:$A$8</c:f>
              <c:strCache>
                <c:ptCount val="3"/>
                <c:pt idx="0">
                  <c:v>Afternoon</c:v>
                </c:pt>
                <c:pt idx="1">
                  <c:v>Morning</c:v>
                </c:pt>
                <c:pt idx="2">
                  <c:v>Night</c:v>
                </c:pt>
              </c:strCache>
            </c:strRef>
          </c:cat>
          <c:val>
            <c:numRef>
              <c:f>Shift_Analysis!$B$5:$B$8</c:f>
              <c:numCache>
                <c:formatCode>0.00</c:formatCode>
                <c:ptCount val="3"/>
                <c:pt idx="0">
                  <c:v>347.52222222222224</c:v>
                </c:pt>
                <c:pt idx="1">
                  <c:v>351.35555555555555</c:v>
                </c:pt>
                <c:pt idx="2">
                  <c:v>346.62222222222221</c:v>
                </c:pt>
              </c:numCache>
            </c:numRef>
          </c:val>
          <c:extLst>
            <c:ext xmlns:c16="http://schemas.microsoft.com/office/drawing/2014/chart" uri="{C3380CC4-5D6E-409C-BE32-E72D297353CC}">
              <c16:uniqueId val="{00000000-EA7E-4C42-8ECA-E48435A48BFC}"/>
            </c:ext>
          </c:extLst>
        </c:ser>
        <c:dLbls>
          <c:showLegendKey val="0"/>
          <c:showVal val="0"/>
          <c:showCatName val="0"/>
          <c:showSerName val="0"/>
          <c:showPercent val="0"/>
          <c:showBubbleSize val="0"/>
        </c:dLbls>
        <c:gapWidth val="219"/>
        <c:overlap val="-27"/>
        <c:axId val="1955994176"/>
        <c:axId val="1956002688"/>
      </c:barChart>
      <c:catAx>
        <c:axId val="1955994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mn-lt"/>
                <a:ea typeface="+mn-ea"/>
                <a:cs typeface="+mn-cs"/>
              </a:defRPr>
            </a:pPr>
            <a:endParaRPr lang="en-US"/>
          </a:p>
        </c:txPr>
        <c:crossAx val="1956002688"/>
        <c:crosses val="autoZero"/>
        <c:auto val="1"/>
        <c:lblAlgn val="ctr"/>
        <c:lblOffset val="100"/>
        <c:noMultiLvlLbl val="0"/>
      </c:catAx>
      <c:valAx>
        <c:axId val="1956002688"/>
        <c:scaling>
          <c:orientation val="minMax"/>
          <c:min val="0"/>
        </c:scaling>
        <c:delete val="0"/>
        <c:axPos val="l"/>
        <c:majorGridlines>
          <c:spPr>
            <a:ln w="9525" cap="flat" cmpd="sng" algn="ctr">
              <a:solidFill>
                <a:schemeClr val="bg1">
                  <a:lumMod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95599417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[main.xlsx]Defect_Analysis!PivotTable5</c:name>
    <c:fmtId val="0"/>
  </c:pivotSource>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r>
              <a:rPr lang="en-CA" sz="1400" b="1">
                <a:latin typeface="Arial" panose="020B0604020202020204" pitchFamily="34" charset="0"/>
                <a:cs typeface="Arial" panose="020B0604020202020204" pitchFamily="34" charset="0"/>
              </a:rPr>
              <a:t>Total Defects by Operator</a:t>
            </a:r>
            <a:endParaRPr lang="en-CA" sz="1400">
              <a:latin typeface="Arial" panose="020B0604020202020204" pitchFamily="34" charset="0"/>
              <a:cs typeface="Arial" panose="020B0604020202020204" pitchFamily="34" charset="0"/>
            </a:endParaRPr>
          </a:p>
        </c:rich>
      </c:tx>
      <c:overlay val="0"/>
      <c:spPr>
        <a:solidFill>
          <a:schemeClr val="bg1"/>
        </a:solid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Arial" panose="020B0604020202020204" pitchFamily="34" charset="0"/>
              <a:ea typeface="+mn-ea"/>
              <a:cs typeface="Arial" panose="020B0604020202020204" pitchFamily="34" charset="0"/>
            </a:defRPr>
          </a:pPr>
          <a:endParaRPr lang="en-CA"/>
        </a:p>
      </c:txPr>
    </c:title>
    <c:autoTitleDeleted val="0"/>
    <c:pivotFmts>
      <c:pivotFmt>
        <c:idx val="0"/>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Defect_Analysis!$B$11</c:f>
              <c:strCache>
                <c:ptCount val="1"/>
                <c:pt idx="0">
                  <c:v>Total</c:v>
                </c:pt>
              </c:strCache>
            </c:strRef>
          </c:tx>
          <c:spPr>
            <a:solidFill>
              <a:srgbClr val="205295"/>
            </a:solidFill>
            <a:ln>
              <a:noFill/>
            </a:ln>
            <a:effectLst/>
          </c:spPr>
          <c:invertIfNegative val="0"/>
          <c:cat>
            <c:strRef>
              <c:f>Defect_Analysis!$A$12:$A$22</c:f>
              <c:strCache>
                <c:ptCount val="10"/>
                <c:pt idx="0">
                  <c:v>O10</c:v>
                </c:pt>
                <c:pt idx="1">
                  <c:v>O01</c:v>
                </c:pt>
                <c:pt idx="2">
                  <c:v>O09</c:v>
                </c:pt>
                <c:pt idx="3">
                  <c:v>O05</c:v>
                </c:pt>
                <c:pt idx="4">
                  <c:v>O03</c:v>
                </c:pt>
                <c:pt idx="5">
                  <c:v>O02</c:v>
                </c:pt>
                <c:pt idx="6">
                  <c:v>O07</c:v>
                </c:pt>
                <c:pt idx="7">
                  <c:v>O04</c:v>
                </c:pt>
                <c:pt idx="8">
                  <c:v>O06</c:v>
                </c:pt>
                <c:pt idx="9">
                  <c:v>O08</c:v>
                </c:pt>
              </c:strCache>
            </c:strRef>
          </c:cat>
          <c:val>
            <c:numRef>
              <c:f>Defect_Analysis!$B$12:$B$22</c:f>
              <c:numCache>
                <c:formatCode>0</c:formatCode>
                <c:ptCount val="10"/>
                <c:pt idx="0">
                  <c:v>338</c:v>
                </c:pt>
                <c:pt idx="1">
                  <c:v>324</c:v>
                </c:pt>
                <c:pt idx="2">
                  <c:v>272</c:v>
                </c:pt>
                <c:pt idx="3">
                  <c:v>241</c:v>
                </c:pt>
                <c:pt idx="4">
                  <c:v>224</c:v>
                </c:pt>
                <c:pt idx="5">
                  <c:v>220</c:v>
                </c:pt>
                <c:pt idx="6">
                  <c:v>216</c:v>
                </c:pt>
                <c:pt idx="7">
                  <c:v>205</c:v>
                </c:pt>
                <c:pt idx="8">
                  <c:v>165</c:v>
                </c:pt>
                <c:pt idx="9">
                  <c:v>119</c:v>
                </c:pt>
              </c:numCache>
            </c:numRef>
          </c:val>
          <c:extLst>
            <c:ext xmlns:c16="http://schemas.microsoft.com/office/drawing/2014/chart" uri="{C3380CC4-5D6E-409C-BE32-E72D297353CC}">
              <c16:uniqueId val="{00000000-2C90-7443-A4F5-383CF3F5E2B5}"/>
            </c:ext>
          </c:extLst>
        </c:ser>
        <c:dLbls>
          <c:showLegendKey val="0"/>
          <c:showVal val="0"/>
          <c:showCatName val="0"/>
          <c:showSerName val="0"/>
          <c:showPercent val="0"/>
          <c:showBubbleSize val="0"/>
        </c:dLbls>
        <c:gapWidth val="150"/>
        <c:axId val="1970184512"/>
        <c:axId val="1967863360"/>
      </c:barChart>
      <c:catAx>
        <c:axId val="1970184512"/>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r>
                  <a:rPr lang="en-US" sz="1100" b="0">
                    <a:solidFill>
                      <a:schemeClr val="tx1"/>
                    </a:solidFill>
                    <a:latin typeface="Arial" panose="020B0604020202020204" pitchFamily="34" charset="0"/>
                    <a:cs typeface="Arial" panose="020B0604020202020204" pitchFamily="34" charset="0"/>
                  </a:rPr>
                  <a:t>Operator ID</a:t>
                </a:r>
              </a:p>
            </c:rich>
          </c:tx>
          <c:overlay val="0"/>
          <c:spPr>
            <a:noFill/>
            <a:ln>
              <a:noFill/>
            </a:ln>
            <a:effectLst/>
          </c:spPr>
          <c:txPr>
            <a:bodyPr rot="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967863360"/>
        <c:crosses val="autoZero"/>
        <c:auto val="1"/>
        <c:lblAlgn val="ctr"/>
        <c:lblOffset val="100"/>
        <c:noMultiLvlLbl val="0"/>
      </c:catAx>
      <c:valAx>
        <c:axId val="196786336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9701845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[main.xlsx]Downtime_Analysis!PivotTable7</c:name>
    <c:fmtId val="0"/>
  </c:pivotSource>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CA" b="1">
                <a:latin typeface="Arial" panose="020B0604020202020204" pitchFamily="34" charset="0"/>
                <a:cs typeface="Arial" panose="020B0604020202020204" pitchFamily="34" charset="0"/>
              </a:rPr>
              <a:t>Daily Downtime Trend (Min)</a:t>
            </a:r>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US"/>
        </a:p>
      </c:txPr>
    </c:title>
    <c:autoTitleDeleted val="0"/>
    <c:pivotFmts>
      <c:pivotFmt>
        <c:idx val="0"/>
        <c:spPr>
          <a:ln w="28575" cap="rnd">
            <a:solidFill>
              <a:srgbClr val="205295"/>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Downtime_Analysis!$B$9</c:f>
              <c:strCache>
                <c:ptCount val="1"/>
                <c:pt idx="0">
                  <c:v>Total</c:v>
                </c:pt>
              </c:strCache>
            </c:strRef>
          </c:tx>
          <c:spPr>
            <a:ln w="28575" cap="rnd">
              <a:solidFill>
                <a:srgbClr val="205295"/>
              </a:solidFill>
              <a:round/>
            </a:ln>
            <a:effectLst/>
          </c:spPr>
          <c:marker>
            <c:symbol val="none"/>
          </c:marker>
          <c:cat>
            <c:strRef>
              <c:f>Downtime_Analysis!$A$10:$A$40</c:f>
              <c:strCache>
                <c:ptCount val="30"/>
                <c:pt idx="0">
                  <c:v>2025-05-01</c:v>
                </c:pt>
                <c:pt idx="1">
                  <c:v>2025-05-02</c:v>
                </c:pt>
                <c:pt idx="2">
                  <c:v>2025-05-03</c:v>
                </c:pt>
                <c:pt idx="3">
                  <c:v>2025-05-04</c:v>
                </c:pt>
                <c:pt idx="4">
                  <c:v>2025-05-05</c:v>
                </c:pt>
                <c:pt idx="5">
                  <c:v>2025-05-06</c:v>
                </c:pt>
                <c:pt idx="6">
                  <c:v>2025-05-07</c:v>
                </c:pt>
                <c:pt idx="7">
                  <c:v>2025-05-08</c:v>
                </c:pt>
                <c:pt idx="8">
                  <c:v>2025-05-09</c:v>
                </c:pt>
                <c:pt idx="9">
                  <c:v>2025-05-10</c:v>
                </c:pt>
                <c:pt idx="10">
                  <c:v>2025-05-11</c:v>
                </c:pt>
                <c:pt idx="11">
                  <c:v>2025-05-12</c:v>
                </c:pt>
                <c:pt idx="12">
                  <c:v>2025-05-13</c:v>
                </c:pt>
                <c:pt idx="13">
                  <c:v>2025-05-14</c:v>
                </c:pt>
                <c:pt idx="14">
                  <c:v>2025-05-15</c:v>
                </c:pt>
                <c:pt idx="15">
                  <c:v>2025-05-16</c:v>
                </c:pt>
                <c:pt idx="16">
                  <c:v>2025-05-17</c:v>
                </c:pt>
                <c:pt idx="17">
                  <c:v>2025-05-18</c:v>
                </c:pt>
                <c:pt idx="18">
                  <c:v>2025-05-19</c:v>
                </c:pt>
                <c:pt idx="19">
                  <c:v>2025-05-20</c:v>
                </c:pt>
                <c:pt idx="20">
                  <c:v>2025-05-21</c:v>
                </c:pt>
                <c:pt idx="21">
                  <c:v>2025-05-22</c:v>
                </c:pt>
                <c:pt idx="22">
                  <c:v>2025-05-23</c:v>
                </c:pt>
                <c:pt idx="23">
                  <c:v>2025-05-24</c:v>
                </c:pt>
                <c:pt idx="24">
                  <c:v>2025-05-25</c:v>
                </c:pt>
                <c:pt idx="25">
                  <c:v>2025-05-26</c:v>
                </c:pt>
                <c:pt idx="26">
                  <c:v>2025-05-27</c:v>
                </c:pt>
                <c:pt idx="27">
                  <c:v>2025-05-28</c:v>
                </c:pt>
                <c:pt idx="28">
                  <c:v>2025-05-29</c:v>
                </c:pt>
                <c:pt idx="29">
                  <c:v>2025-05-30</c:v>
                </c:pt>
              </c:strCache>
            </c:strRef>
          </c:cat>
          <c:val>
            <c:numRef>
              <c:f>Downtime_Analysis!$B$10:$B$40</c:f>
              <c:numCache>
                <c:formatCode>0</c:formatCode>
                <c:ptCount val="30"/>
                <c:pt idx="0">
                  <c:v>343</c:v>
                </c:pt>
                <c:pt idx="1">
                  <c:v>197</c:v>
                </c:pt>
                <c:pt idx="2">
                  <c:v>243</c:v>
                </c:pt>
                <c:pt idx="3">
                  <c:v>273</c:v>
                </c:pt>
                <c:pt idx="4">
                  <c:v>316</c:v>
                </c:pt>
                <c:pt idx="5">
                  <c:v>268</c:v>
                </c:pt>
                <c:pt idx="6">
                  <c:v>219</c:v>
                </c:pt>
                <c:pt idx="7">
                  <c:v>301</c:v>
                </c:pt>
                <c:pt idx="8">
                  <c:v>269</c:v>
                </c:pt>
                <c:pt idx="9">
                  <c:v>309</c:v>
                </c:pt>
                <c:pt idx="10">
                  <c:v>312</c:v>
                </c:pt>
                <c:pt idx="11">
                  <c:v>282</c:v>
                </c:pt>
                <c:pt idx="12">
                  <c:v>225</c:v>
                </c:pt>
                <c:pt idx="13">
                  <c:v>267</c:v>
                </c:pt>
                <c:pt idx="14">
                  <c:v>302</c:v>
                </c:pt>
                <c:pt idx="15">
                  <c:v>206</c:v>
                </c:pt>
                <c:pt idx="16">
                  <c:v>356</c:v>
                </c:pt>
                <c:pt idx="17">
                  <c:v>357</c:v>
                </c:pt>
                <c:pt idx="18">
                  <c:v>265</c:v>
                </c:pt>
                <c:pt idx="19">
                  <c:v>282</c:v>
                </c:pt>
                <c:pt idx="20">
                  <c:v>229</c:v>
                </c:pt>
                <c:pt idx="21">
                  <c:v>264</c:v>
                </c:pt>
                <c:pt idx="22">
                  <c:v>204</c:v>
                </c:pt>
                <c:pt idx="23">
                  <c:v>275</c:v>
                </c:pt>
                <c:pt idx="24">
                  <c:v>234</c:v>
                </c:pt>
                <c:pt idx="25">
                  <c:v>263</c:v>
                </c:pt>
                <c:pt idx="26">
                  <c:v>293</c:v>
                </c:pt>
                <c:pt idx="27">
                  <c:v>276</c:v>
                </c:pt>
                <c:pt idx="28">
                  <c:v>350</c:v>
                </c:pt>
                <c:pt idx="29">
                  <c:v>334</c:v>
                </c:pt>
              </c:numCache>
            </c:numRef>
          </c:val>
          <c:smooth val="0"/>
          <c:extLst>
            <c:ext xmlns:c16="http://schemas.microsoft.com/office/drawing/2014/chart" uri="{C3380CC4-5D6E-409C-BE32-E72D297353CC}">
              <c16:uniqueId val="{00000000-FF28-8F4C-9FD7-9F6ECF3F8EE6}"/>
            </c:ext>
          </c:extLst>
        </c:ser>
        <c:dLbls>
          <c:showLegendKey val="0"/>
          <c:showVal val="0"/>
          <c:showCatName val="0"/>
          <c:showSerName val="0"/>
          <c:showPercent val="0"/>
          <c:showBubbleSize val="0"/>
        </c:dLbls>
        <c:hiLowLines>
          <c:spPr>
            <a:ln w="9525" cap="flat" cmpd="sng" algn="ctr">
              <a:solidFill>
                <a:schemeClr val="tx1">
                  <a:lumMod val="75000"/>
                  <a:lumOff val="25000"/>
                </a:schemeClr>
              </a:solidFill>
              <a:round/>
            </a:ln>
            <a:effectLst/>
          </c:spPr>
        </c:hiLowLines>
        <c:smooth val="0"/>
        <c:axId val="1914022400"/>
        <c:axId val="1915564288"/>
      </c:lineChart>
      <c:dateAx>
        <c:axId val="1914022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915564288"/>
        <c:crosses val="autoZero"/>
        <c:auto val="0"/>
        <c:lblOffset val="100"/>
        <c:baseTimeUnit val="days"/>
        <c:majorUnit val="2"/>
        <c:minorUnit val="1"/>
      </c:dateAx>
      <c:valAx>
        <c:axId val="191556428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91402240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[main.xlsx]Machine_Efficiency_Analysis!PivotTable8</c:name>
    <c:fmtId val="0"/>
  </c:pivotSource>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en-CA" b="1"/>
              <a:t>Average Machine Efficiency by Line</a:t>
            </a:r>
            <a:endParaRPr lang="en-CA"/>
          </a:p>
          <a:p>
            <a:pPr marL="0" marR="0" lvl="0" indent="0" algn="ctr" defTabSz="914400" rtl="0" eaLnBrk="1" fontAlgn="auto" latinLnBrk="0" hangingPunct="1">
              <a:lnSpc>
                <a:spcPct val="100000"/>
              </a:lnSpc>
              <a:spcBef>
                <a:spcPts val="0"/>
              </a:spcBef>
              <a:spcAft>
                <a:spcPts val="0"/>
              </a:spcAft>
              <a:buClrTx/>
              <a:buSzTx/>
              <a:buFontTx/>
              <a:buNone/>
              <a:tabLst/>
              <a:defRPr>
                <a:solidFill>
                  <a:sysClr val="windowText" lastClr="000000">
                    <a:lumMod val="65000"/>
                    <a:lumOff val="35000"/>
                  </a:sysClr>
                </a:solidFill>
              </a:defRPr>
            </a:pPr>
            <a:endParaRPr lang="en-US"/>
          </a:p>
        </c:rich>
      </c:tx>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en-CA"/>
        </a:p>
      </c:txPr>
    </c:title>
    <c:autoTitleDeleted val="0"/>
    <c:pivotFmts>
      <c:pivotFmt>
        <c:idx val="0"/>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Machine_Efficiency_Analysis!$B$3</c:f>
              <c:strCache>
                <c:ptCount val="1"/>
                <c:pt idx="0">
                  <c:v>Total</c:v>
                </c:pt>
              </c:strCache>
            </c:strRef>
          </c:tx>
          <c:spPr>
            <a:solidFill>
              <a:srgbClr val="20529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Machine_Efficiency_Analysis!$A$4:$A$7</c:f>
              <c:strCache>
                <c:ptCount val="3"/>
                <c:pt idx="0">
                  <c:v>L1</c:v>
                </c:pt>
                <c:pt idx="1">
                  <c:v>L2</c:v>
                </c:pt>
                <c:pt idx="2">
                  <c:v>L3</c:v>
                </c:pt>
              </c:strCache>
            </c:strRef>
          </c:cat>
          <c:val>
            <c:numRef>
              <c:f>Machine_Efficiency_Analysis!$B$4:$B$7</c:f>
              <c:numCache>
                <c:formatCode>0</c:formatCode>
                <c:ptCount val="3"/>
                <c:pt idx="0">
                  <c:v>84.103777777777793</c:v>
                </c:pt>
                <c:pt idx="1">
                  <c:v>84.346333333333348</c:v>
                </c:pt>
                <c:pt idx="2">
                  <c:v>83.481999999999985</c:v>
                </c:pt>
              </c:numCache>
            </c:numRef>
          </c:val>
          <c:extLst>
            <c:ext xmlns:c16="http://schemas.microsoft.com/office/drawing/2014/chart" uri="{C3380CC4-5D6E-409C-BE32-E72D297353CC}">
              <c16:uniqueId val="{00000000-985B-3E46-B060-B2AC45770D89}"/>
            </c:ext>
          </c:extLst>
        </c:ser>
        <c:dLbls>
          <c:showLegendKey val="0"/>
          <c:showVal val="0"/>
          <c:showCatName val="0"/>
          <c:showSerName val="0"/>
          <c:showPercent val="0"/>
          <c:showBubbleSize val="0"/>
        </c:dLbls>
        <c:gapWidth val="219"/>
        <c:overlap val="-27"/>
        <c:axId val="1901299904"/>
        <c:axId val="1893706688"/>
      </c:barChart>
      <c:catAx>
        <c:axId val="1901299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3706688"/>
        <c:crosses val="autoZero"/>
        <c:auto val="1"/>
        <c:lblAlgn val="ctr"/>
        <c:lblOffset val="100"/>
        <c:noMultiLvlLbl val="0"/>
      </c:catAx>
      <c:valAx>
        <c:axId val="189370668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0129990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[main.xlsx]Shift_Analysis!PivotTable1</c:name>
    <c:fmtId val="6"/>
  </c:pivotSource>
  <c:chart>
    <c:title>
      <c:tx>
        <c:rich>
          <a:bodyPr rot="0" spcFirstLastPara="1" vertOverflow="ellipsis" vert="horz" wrap="square" anchor="ctr" anchorCtr="1"/>
          <a:lstStyle/>
          <a:p>
            <a:pPr>
              <a:defRPr sz="1600" b="0" i="0" u="none" strike="noStrike" kern="1200" spc="0" baseline="0">
                <a:solidFill>
                  <a:schemeClr val="tx1"/>
                </a:solidFill>
                <a:latin typeface="+mn-lt"/>
                <a:ea typeface="+mn-ea"/>
                <a:cs typeface="+mn-cs"/>
              </a:defRPr>
            </a:pPr>
            <a:r>
              <a:rPr lang="en-CA" sz="1600" b="1">
                <a:solidFill>
                  <a:schemeClr val="tx1"/>
                </a:solidFill>
              </a:rPr>
              <a:t>Average Production by Shift</a:t>
            </a:r>
            <a:endParaRPr lang="en-CA" sz="1600">
              <a:solidFill>
                <a:schemeClr val="tx1"/>
              </a:solidFill>
            </a:endParaRPr>
          </a:p>
        </c:rich>
      </c:tx>
      <c:overlay val="0"/>
      <c:spPr>
        <a:solidFill>
          <a:schemeClr val="bg1">
            <a:lumMod val="95000"/>
          </a:schemeClr>
        </a:solidFill>
        <a:ln>
          <a:noFill/>
        </a:ln>
        <a:effectLst/>
      </c:spPr>
      <c:txPr>
        <a:bodyPr rot="0" spcFirstLastPara="1" vertOverflow="ellipsis" vert="horz" wrap="square" anchor="ctr" anchorCtr="1"/>
        <a:lstStyle/>
        <a:p>
          <a:pPr>
            <a:defRPr sz="1600" b="0" i="0" u="none" strike="noStrike" kern="1200" spc="0" baseline="0">
              <a:solidFill>
                <a:schemeClr val="tx1"/>
              </a:solidFill>
              <a:latin typeface="+mn-lt"/>
              <a:ea typeface="+mn-ea"/>
              <a:cs typeface="+mn-cs"/>
            </a:defRPr>
          </a:pPr>
          <a:endParaRPr lang="en-CA"/>
        </a:p>
      </c:txPr>
    </c:title>
    <c:autoTitleDeleted val="0"/>
    <c:pivotFmts>
      <c:pivotFmt>
        <c:idx val="0"/>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Shift_Analysis!$B$4</c:f>
              <c:strCache>
                <c:ptCount val="1"/>
                <c:pt idx="0">
                  <c:v>Total</c:v>
                </c:pt>
              </c:strCache>
            </c:strRef>
          </c:tx>
          <c:spPr>
            <a:solidFill>
              <a:srgbClr val="20529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Shift_Analysis!$A$5:$A$8</c:f>
              <c:strCache>
                <c:ptCount val="3"/>
                <c:pt idx="0">
                  <c:v>Afternoon</c:v>
                </c:pt>
                <c:pt idx="1">
                  <c:v>Morning</c:v>
                </c:pt>
                <c:pt idx="2">
                  <c:v>Night</c:v>
                </c:pt>
              </c:strCache>
            </c:strRef>
          </c:cat>
          <c:val>
            <c:numRef>
              <c:f>Shift_Analysis!$B$5:$B$8</c:f>
              <c:numCache>
                <c:formatCode>0.00</c:formatCode>
                <c:ptCount val="3"/>
                <c:pt idx="0">
                  <c:v>347.52222222222224</c:v>
                </c:pt>
                <c:pt idx="1">
                  <c:v>351.35555555555555</c:v>
                </c:pt>
                <c:pt idx="2">
                  <c:v>346.62222222222221</c:v>
                </c:pt>
              </c:numCache>
            </c:numRef>
          </c:val>
          <c:extLst>
            <c:ext xmlns:c16="http://schemas.microsoft.com/office/drawing/2014/chart" uri="{C3380CC4-5D6E-409C-BE32-E72D297353CC}">
              <c16:uniqueId val="{00000000-FD28-4F4A-8B00-7F2D0D590CDF}"/>
            </c:ext>
          </c:extLst>
        </c:ser>
        <c:dLbls>
          <c:showLegendKey val="0"/>
          <c:showVal val="0"/>
          <c:showCatName val="0"/>
          <c:showSerName val="0"/>
          <c:showPercent val="0"/>
          <c:showBubbleSize val="0"/>
        </c:dLbls>
        <c:gapWidth val="219"/>
        <c:overlap val="-27"/>
        <c:axId val="1955994176"/>
        <c:axId val="1956002688"/>
      </c:barChart>
      <c:catAx>
        <c:axId val="1955994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solidFill>
                <a:latin typeface="+mn-lt"/>
                <a:ea typeface="+mn-ea"/>
                <a:cs typeface="+mn-cs"/>
              </a:defRPr>
            </a:pPr>
            <a:endParaRPr lang="en-US"/>
          </a:p>
        </c:txPr>
        <c:crossAx val="1956002688"/>
        <c:crosses val="autoZero"/>
        <c:auto val="1"/>
        <c:lblAlgn val="ctr"/>
        <c:lblOffset val="100"/>
        <c:noMultiLvlLbl val="0"/>
      </c:catAx>
      <c:valAx>
        <c:axId val="1956002688"/>
        <c:scaling>
          <c:orientation val="minMax"/>
          <c:min val="0"/>
        </c:scaling>
        <c:delete val="0"/>
        <c:axPos val="l"/>
        <c:majorGridlines>
          <c:spPr>
            <a:ln w="9525" cap="flat" cmpd="sng" algn="ctr">
              <a:solidFill>
                <a:schemeClr val="bg1">
                  <a:lumMod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5599417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[main.xlsx]Downtime_Analysis!PivotTable7</c:name>
    <c:fmtId val="3"/>
  </c:pivotSource>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chemeClr val="tx1"/>
                </a:solidFill>
                <a:latin typeface="+mn-lt"/>
                <a:ea typeface="+mn-ea"/>
                <a:cs typeface="+mn-cs"/>
              </a:defRPr>
            </a:pPr>
            <a:r>
              <a:rPr lang="en-CA" sz="1600" b="1">
                <a:solidFill>
                  <a:schemeClr val="tx1"/>
                </a:solidFill>
                <a:latin typeface="+mn-lt"/>
                <a:cs typeface="Arial" panose="020B0604020202020204" pitchFamily="34" charset="0"/>
              </a:rPr>
              <a:t>Daily Downtime Trend (Min)</a:t>
            </a:r>
          </a:p>
        </c:rich>
      </c:tx>
      <c:overlay val="0"/>
      <c:spPr>
        <a:solidFill>
          <a:schemeClr val="bg1">
            <a:lumMod val="95000"/>
          </a:schemeClr>
        </a:solid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chemeClr val="tx1"/>
              </a:solidFill>
              <a:latin typeface="+mn-lt"/>
              <a:ea typeface="+mn-ea"/>
              <a:cs typeface="+mn-cs"/>
            </a:defRPr>
          </a:pPr>
          <a:endParaRPr lang="en-US"/>
        </a:p>
      </c:txPr>
    </c:title>
    <c:autoTitleDeleted val="0"/>
    <c:pivotFmts>
      <c:pivotFmt>
        <c:idx val="0"/>
        <c:spPr>
          <a:solidFill>
            <a:schemeClr val="accent1"/>
          </a:solidFill>
          <a:ln w="28575" cap="rnd">
            <a:solidFill>
              <a:srgbClr val="205295"/>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rgbClr val="205295"/>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rgbClr val="205295"/>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Downtime_Analysis!$B$9</c:f>
              <c:strCache>
                <c:ptCount val="1"/>
                <c:pt idx="0">
                  <c:v>Total</c:v>
                </c:pt>
              </c:strCache>
            </c:strRef>
          </c:tx>
          <c:spPr>
            <a:ln w="28575" cap="rnd">
              <a:solidFill>
                <a:srgbClr val="205295"/>
              </a:solidFill>
              <a:round/>
            </a:ln>
            <a:effectLst/>
          </c:spPr>
          <c:marker>
            <c:symbol val="none"/>
          </c:marker>
          <c:cat>
            <c:strRef>
              <c:f>Downtime_Analysis!$A$10:$A$40</c:f>
              <c:strCache>
                <c:ptCount val="30"/>
                <c:pt idx="0">
                  <c:v>2025-05-01</c:v>
                </c:pt>
                <c:pt idx="1">
                  <c:v>2025-05-02</c:v>
                </c:pt>
                <c:pt idx="2">
                  <c:v>2025-05-03</c:v>
                </c:pt>
                <c:pt idx="3">
                  <c:v>2025-05-04</c:v>
                </c:pt>
                <c:pt idx="4">
                  <c:v>2025-05-05</c:v>
                </c:pt>
                <c:pt idx="5">
                  <c:v>2025-05-06</c:v>
                </c:pt>
                <c:pt idx="6">
                  <c:v>2025-05-07</c:v>
                </c:pt>
                <c:pt idx="7">
                  <c:v>2025-05-08</c:v>
                </c:pt>
                <c:pt idx="8">
                  <c:v>2025-05-09</c:v>
                </c:pt>
                <c:pt idx="9">
                  <c:v>2025-05-10</c:v>
                </c:pt>
                <c:pt idx="10">
                  <c:v>2025-05-11</c:v>
                </c:pt>
                <c:pt idx="11">
                  <c:v>2025-05-12</c:v>
                </c:pt>
                <c:pt idx="12">
                  <c:v>2025-05-13</c:v>
                </c:pt>
                <c:pt idx="13">
                  <c:v>2025-05-14</c:v>
                </c:pt>
                <c:pt idx="14">
                  <c:v>2025-05-15</c:v>
                </c:pt>
                <c:pt idx="15">
                  <c:v>2025-05-16</c:v>
                </c:pt>
                <c:pt idx="16">
                  <c:v>2025-05-17</c:v>
                </c:pt>
                <c:pt idx="17">
                  <c:v>2025-05-18</c:v>
                </c:pt>
                <c:pt idx="18">
                  <c:v>2025-05-19</c:v>
                </c:pt>
                <c:pt idx="19">
                  <c:v>2025-05-20</c:v>
                </c:pt>
                <c:pt idx="20">
                  <c:v>2025-05-21</c:v>
                </c:pt>
                <c:pt idx="21">
                  <c:v>2025-05-22</c:v>
                </c:pt>
                <c:pt idx="22">
                  <c:v>2025-05-23</c:v>
                </c:pt>
                <c:pt idx="23">
                  <c:v>2025-05-24</c:v>
                </c:pt>
                <c:pt idx="24">
                  <c:v>2025-05-25</c:v>
                </c:pt>
                <c:pt idx="25">
                  <c:v>2025-05-26</c:v>
                </c:pt>
                <c:pt idx="26">
                  <c:v>2025-05-27</c:v>
                </c:pt>
                <c:pt idx="27">
                  <c:v>2025-05-28</c:v>
                </c:pt>
                <c:pt idx="28">
                  <c:v>2025-05-29</c:v>
                </c:pt>
                <c:pt idx="29">
                  <c:v>2025-05-30</c:v>
                </c:pt>
              </c:strCache>
            </c:strRef>
          </c:cat>
          <c:val>
            <c:numRef>
              <c:f>Downtime_Analysis!$B$10:$B$40</c:f>
              <c:numCache>
                <c:formatCode>0</c:formatCode>
                <c:ptCount val="30"/>
                <c:pt idx="0">
                  <c:v>343</c:v>
                </c:pt>
                <c:pt idx="1">
                  <c:v>197</c:v>
                </c:pt>
                <c:pt idx="2">
                  <c:v>243</c:v>
                </c:pt>
                <c:pt idx="3">
                  <c:v>273</c:v>
                </c:pt>
                <c:pt idx="4">
                  <c:v>316</c:v>
                </c:pt>
                <c:pt idx="5">
                  <c:v>268</c:v>
                </c:pt>
                <c:pt idx="6">
                  <c:v>219</c:v>
                </c:pt>
                <c:pt idx="7">
                  <c:v>301</c:v>
                </c:pt>
                <c:pt idx="8">
                  <c:v>269</c:v>
                </c:pt>
                <c:pt idx="9">
                  <c:v>309</c:v>
                </c:pt>
                <c:pt idx="10">
                  <c:v>312</c:v>
                </c:pt>
                <c:pt idx="11">
                  <c:v>282</c:v>
                </c:pt>
                <c:pt idx="12">
                  <c:v>225</c:v>
                </c:pt>
                <c:pt idx="13">
                  <c:v>267</c:v>
                </c:pt>
                <c:pt idx="14">
                  <c:v>302</c:v>
                </c:pt>
                <c:pt idx="15">
                  <c:v>206</c:v>
                </c:pt>
                <c:pt idx="16">
                  <c:v>356</c:v>
                </c:pt>
                <c:pt idx="17">
                  <c:v>357</c:v>
                </c:pt>
                <c:pt idx="18">
                  <c:v>265</c:v>
                </c:pt>
                <c:pt idx="19">
                  <c:v>282</c:v>
                </c:pt>
                <c:pt idx="20">
                  <c:v>229</c:v>
                </c:pt>
                <c:pt idx="21">
                  <c:v>264</c:v>
                </c:pt>
                <c:pt idx="22">
                  <c:v>204</c:v>
                </c:pt>
                <c:pt idx="23">
                  <c:v>275</c:v>
                </c:pt>
                <c:pt idx="24">
                  <c:v>234</c:v>
                </c:pt>
                <c:pt idx="25">
                  <c:v>263</c:v>
                </c:pt>
                <c:pt idx="26">
                  <c:v>293</c:v>
                </c:pt>
                <c:pt idx="27">
                  <c:v>276</c:v>
                </c:pt>
                <c:pt idx="28">
                  <c:v>350</c:v>
                </c:pt>
                <c:pt idx="29">
                  <c:v>334</c:v>
                </c:pt>
              </c:numCache>
            </c:numRef>
          </c:val>
          <c:smooth val="0"/>
          <c:extLst>
            <c:ext xmlns:c16="http://schemas.microsoft.com/office/drawing/2014/chart" uri="{C3380CC4-5D6E-409C-BE32-E72D297353CC}">
              <c16:uniqueId val="{00000000-6B5F-5542-989F-4DE1B16FD3D8}"/>
            </c:ext>
          </c:extLst>
        </c:ser>
        <c:dLbls>
          <c:showLegendKey val="0"/>
          <c:showVal val="0"/>
          <c:showCatName val="0"/>
          <c:showSerName val="0"/>
          <c:showPercent val="0"/>
          <c:showBubbleSize val="0"/>
        </c:dLbls>
        <c:hiLowLines>
          <c:spPr>
            <a:ln w="9525" cap="flat" cmpd="sng" algn="ctr">
              <a:solidFill>
                <a:schemeClr val="tx1">
                  <a:lumMod val="75000"/>
                  <a:lumOff val="25000"/>
                </a:schemeClr>
              </a:solidFill>
              <a:round/>
            </a:ln>
            <a:effectLst/>
          </c:spPr>
        </c:hiLowLines>
        <c:smooth val="0"/>
        <c:axId val="1914022400"/>
        <c:axId val="1915564288"/>
      </c:lineChart>
      <c:dateAx>
        <c:axId val="1914022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Arial" panose="020B0604020202020204" pitchFamily="34" charset="0"/>
              </a:defRPr>
            </a:pPr>
            <a:endParaRPr lang="en-US"/>
          </a:p>
        </c:txPr>
        <c:crossAx val="1915564288"/>
        <c:crosses val="autoZero"/>
        <c:auto val="0"/>
        <c:lblOffset val="100"/>
        <c:baseTimeUnit val="days"/>
        <c:majorUnit val="2"/>
        <c:minorUnit val="1"/>
      </c:dateAx>
      <c:valAx>
        <c:axId val="191556428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Arial" panose="020B0604020202020204" pitchFamily="34" charset="0"/>
              </a:defRPr>
            </a:pPr>
            <a:endParaRPr lang="en-US"/>
          </a:p>
        </c:txPr>
        <c:crossAx val="191402240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[main.xlsx]Machine_Efficiency_Analysis!PivotTable8</c:name>
    <c:fmtId val="3"/>
  </c:pivotSource>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chemeClr val="tx1"/>
                </a:solidFill>
                <a:latin typeface="+mn-lt"/>
                <a:ea typeface="+mn-ea"/>
                <a:cs typeface="+mn-cs"/>
              </a:defRPr>
            </a:pPr>
            <a:r>
              <a:rPr lang="en-CA" sz="1600" b="1">
                <a:solidFill>
                  <a:schemeClr val="tx1"/>
                </a:solidFill>
              </a:rPr>
              <a:t>Average Machine Efficiency by Line</a:t>
            </a:r>
            <a:endParaRPr lang="en-CA" sz="1600">
              <a:solidFill>
                <a:schemeClr val="tx1"/>
              </a:solidFill>
            </a:endParaRPr>
          </a:p>
        </c:rich>
      </c:tx>
      <c:overlay val="0"/>
      <c:spPr>
        <a:solidFill>
          <a:schemeClr val="bg1">
            <a:lumMod val="95000"/>
          </a:schemeClr>
        </a:solid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600" b="0" i="0" u="none" strike="noStrike" kern="1200" spc="0" baseline="0">
              <a:solidFill>
                <a:schemeClr val="tx1"/>
              </a:solidFill>
              <a:latin typeface="+mn-lt"/>
              <a:ea typeface="+mn-ea"/>
              <a:cs typeface="+mn-cs"/>
            </a:defRPr>
          </a:pPr>
          <a:endParaRPr lang="en-CA"/>
        </a:p>
      </c:txPr>
    </c:title>
    <c:autoTitleDeleted val="0"/>
    <c:pivotFmts>
      <c:pivotFmt>
        <c:idx val="0"/>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205295"/>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Machine_Efficiency_Analysis!$B$3</c:f>
              <c:strCache>
                <c:ptCount val="1"/>
                <c:pt idx="0">
                  <c:v>Total</c:v>
                </c:pt>
              </c:strCache>
            </c:strRef>
          </c:tx>
          <c:spPr>
            <a:solidFill>
              <a:srgbClr val="20529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Machine_Efficiency_Analysis!$A$4:$A$7</c:f>
              <c:strCache>
                <c:ptCount val="3"/>
                <c:pt idx="0">
                  <c:v>L1</c:v>
                </c:pt>
                <c:pt idx="1">
                  <c:v>L2</c:v>
                </c:pt>
                <c:pt idx="2">
                  <c:v>L3</c:v>
                </c:pt>
              </c:strCache>
            </c:strRef>
          </c:cat>
          <c:val>
            <c:numRef>
              <c:f>Machine_Efficiency_Analysis!$B$4:$B$7</c:f>
              <c:numCache>
                <c:formatCode>0</c:formatCode>
                <c:ptCount val="3"/>
                <c:pt idx="0">
                  <c:v>84.103777777777793</c:v>
                </c:pt>
                <c:pt idx="1">
                  <c:v>84.346333333333348</c:v>
                </c:pt>
                <c:pt idx="2">
                  <c:v>83.481999999999985</c:v>
                </c:pt>
              </c:numCache>
            </c:numRef>
          </c:val>
          <c:extLst>
            <c:ext xmlns:c16="http://schemas.microsoft.com/office/drawing/2014/chart" uri="{C3380CC4-5D6E-409C-BE32-E72D297353CC}">
              <c16:uniqueId val="{00000000-8E9D-D94B-9CAB-347940014AFB}"/>
            </c:ext>
          </c:extLst>
        </c:ser>
        <c:dLbls>
          <c:showLegendKey val="0"/>
          <c:showVal val="0"/>
          <c:showCatName val="0"/>
          <c:showSerName val="0"/>
          <c:showPercent val="0"/>
          <c:showBubbleSize val="0"/>
        </c:dLbls>
        <c:gapWidth val="219"/>
        <c:overlap val="-27"/>
        <c:axId val="1901299904"/>
        <c:axId val="1893706688"/>
      </c:barChart>
      <c:catAx>
        <c:axId val="1901299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n-US"/>
          </a:p>
        </c:txPr>
        <c:crossAx val="1893706688"/>
        <c:crosses val="autoZero"/>
        <c:auto val="1"/>
        <c:lblAlgn val="ctr"/>
        <c:lblOffset val="100"/>
        <c:noMultiLvlLbl val="0"/>
      </c:catAx>
      <c:valAx>
        <c:axId val="1893706688"/>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190129990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CA" sz="1600" b="1"/>
              <a:t>Estimated OEE by Line</a:t>
            </a:r>
            <a:endParaRPr lang="en-CA" sz="1600"/>
          </a:p>
        </c:rich>
      </c:tx>
      <c:overlay val="0"/>
      <c:spPr>
        <a:solidFill>
          <a:schemeClr val="bg1">
            <a:lumMod val="95000"/>
          </a:schemeClr>
        </a:solid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CA"/>
        </a:p>
      </c:txPr>
    </c:title>
    <c:autoTitleDeleted val="0"/>
    <c:plotArea>
      <c:layout/>
      <c:barChart>
        <c:barDir val="bar"/>
        <c:grouping val="clustered"/>
        <c:varyColors val="0"/>
        <c:ser>
          <c:idx val="0"/>
          <c:order val="0"/>
          <c:tx>
            <c:strRef>
              <c:f>OEE_Analysis!$K$4</c:f>
              <c:strCache>
                <c:ptCount val="1"/>
                <c:pt idx="0">
                  <c:v>OEE</c:v>
                </c:pt>
              </c:strCache>
            </c:strRef>
          </c:tx>
          <c:spPr>
            <a:solidFill>
              <a:srgbClr val="205295"/>
            </a:solidFill>
            <a:ln>
              <a:noFill/>
            </a:ln>
            <a:effectLst/>
          </c:spPr>
          <c:invertIfNegative val="0"/>
          <c:cat>
            <c:strRef>
              <c:f>OEE_Analysis!$A$5:$A$7</c:f>
              <c:strCache>
                <c:ptCount val="3"/>
                <c:pt idx="0">
                  <c:v>L1</c:v>
                </c:pt>
                <c:pt idx="1">
                  <c:v>L2</c:v>
                </c:pt>
                <c:pt idx="2">
                  <c:v>L3</c:v>
                </c:pt>
              </c:strCache>
            </c:strRef>
          </c:cat>
          <c:val>
            <c:numRef>
              <c:f>OEE_Analysis!$K$5:$K$7</c:f>
              <c:numCache>
                <c:formatCode>0.0</c:formatCode>
                <c:ptCount val="3"/>
                <c:pt idx="0">
                  <c:v>76.84233274998968</c:v>
                </c:pt>
                <c:pt idx="1">
                  <c:v>76.977326271073849</c:v>
                </c:pt>
                <c:pt idx="2">
                  <c:v>76.126555597132025</c:v>
                </c:pt>
              </c:numCache>
            </c:numRef>
          </c:val>
          <c:extLst>
            <c:ext xmlns:c16="http://schemas.microsoft.com/office/drawing/2014/chart" uri="{C3380CC4-5D6E-409C-BE32-E72D297353CC}">
              <c16:uniqueId val="{00000000-B06B-E240-A8AF-1C6B1C82D188}"/>
            </c:ext>
          </c:extLst>
        </c:ser>
        <c:dLbls>
          <c:showLegendKey val="0"/>
          <c:showVal val="0"/>
          <c:showCatName val="0"/>
          <c:showSerName val="0"/>
          <c:showPercent val="0"/>
          <c:showBubbleSize val="0"/>
        </c:dLbls>
        <c:gapWidth val="182"/>
        <c:axId val="845214847"/>
        <c:axId val="845215295"/>
      </c:barChart>
      <c:catAx>
        <c:axId val="84521484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45215295"/>
        <c:crosses val="autoZero"/>
        <c:auto val="1"/>
        <c:lblAlgn val="ctr"/>
        <c:lblOffset val="100"/>
        <c:noMultiLvlLbl val="0"/>
      </c:catAx>
      <c:valAx>
        <c:axId val="845215295"/>
        <c:scaling>
          <c:orientation val="minMax"/>
          <c:max val="100"/>
        </c:scaling>
        <c:delete val="0"/>
        <c:axPos val="b"/>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crossAx val="845214847"/>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CA" sz="1600" b="1"/>
              <a:t>Pareto Chart of Defects by Operator</a:t>
            </a:r>
          </a:p>
        </c:rich>
      </c:tx>
      <c:overlay val="0"/>
      <c:spPr>
        <a:solidFill>
          <a:schemeClr val="bg1">
            <a:lumMod val="95000"/>
          </a:schemeClr>
        </a:solid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en-CA"/>
        </a:p>
      </c:txPr>
    </c:title>
    <c:autoTitleDeleted val="0"/>
    <c:plotArea>
      <c:layout/>
      <c:barChart>
        <c:barDir val="col"/>
        <c:grouping val="clustered"/>
        <c:varyColors val="0"/>
        <c:ser>
          <c:idx val="0"/>
          <c:order val="0"/>
          <c:tx>
            <c:strRef>
              <c:f>Pareto_Analysis!$E$3</c:f>
              <c:strCache>
                <c:ptCount val="1"/>
                <c:pt idx="0">
                  <c:v>Total Defects</c:v>
                </c:pt>
              </c:strCache>
            </c:strRef>
          </c:tx>
          <c:spPr>
            <a:solidFill>
              <a:srgbClr val="205295"/>
            </a:solidFill>
            <a:ln>
              <a:noFill/>
            </a:ln>
            <a:effectLst/>
          </c:spPr>
          <c:invertIfNegative val="0"/>
          <c:cat>
            <c:strRef>
              <c:f>Pareto_Analysis!$D$4:$D$13</c:f>
              <c:strCache>
                <c:ptCount val="10"/>
                <c:pt idx="0">
                  <c:v>O10</c:v>
                </c:pt>
                <c:pt idx="1">
                  <c:v>O01</c:v>
                </c:pt>
                <c:pt idx="2">
                  <c:v>O09</c:v>
                </c:pt>
                <c:pt idx="3">
                  <c:v>O05</c:v>
                </c:pt>
                <c:pt idx="4">
                  <c:v>O03</c:v>
                </c:pt>
                <c:pt idx="5">
                  <c:v>O02</c:v>
                </c:pt>
                <c:pt idx="6">
                  <c:v>O07</c:v>
                </c:pt>
                <c:pt idx="7">
                  <c:v>O04</c:v>
                </c:pt>
                <c:pt idx="8">
                  <c:v>O06</c:v>
                </c:pt>
                <c:pt idx="9">
                  <c:v>O08</c:v>
                </c:pt>
              </c:strCache>
            </c:strRef>
          </c:cat>
          <c:val>
            <c:numRef>
              <c:f>Pareto_Analysis!$E$4:$E$13</c:f>
              <c:numCache>
                <c:formatCode>General</c:formatCode>
                <c:ptCount val="10"/>
                <c:pt idx="0">
                  <c:v>338</c:v>
                </c:pt>
                <c:pt idx="1">
                  <c:v>324</c:v>
                </c:pt>
                <c:pt idx="2">
                  <c:v>272</c:v>
                </c:pt>
                <c:pt idx="3">
                  <c:v>241</c:v>
                </c:pt>
                <c:pt idx="4">
                  <c:v>224</c:v>
                </c:pt>
                <c:pt idx="5">
                  <c:v>220</c:v>
                </c:pt>
                <c:pt idx="6">
                  <c:v>216</c:v>
                </c:pt>
                <c:pt idx="7">
                  <c:v>205</c:v>
                </c:pt>
                <c:pt idx="8">
                  <c:v>165</c:v>
                </c:pt>
                <c:pt idx="9">
                  <c:v>119</c:v>
                </c:pt>
              </c:numCache>
            </c:numRef>
          </c:val>
          <c:extLst>
            <c:ext xmlns:c16="http://schemas.microsoft.com/office/drawing/2014/chart" uri="{C3380CC4-5D6E-409C-BE32-E72D297353CC}">
              <c16:uniqueId val="{00000000-A743-A441-A2C4-26A201B8E5D8}"/>
            </c:ext>
          </c:extLst>
        </c:ser>
        <c:dLbls>
          <c:showLegendKey val="0"/>
          <c:showVal val="0"/>
          <c:showCatName val="0"/>
          <c:showSerName val="0"/>
          <c:showPercent val="0"/>
          <c:showBubbleSize val="0"/>
        </c:dLbls>
        <c:gapWidth val="150"/>
        <c:axId val="1445325760"/>
        <c:axId val="1445316352"/>
      </c:barChart>
      <c:lineChart>
        <c:grouping val="standard"/>
        <c:varyColors val="0"/>
        <c:ser>
          <c:idx val="1"/>
          <c:order val="1"/>
          <c:tx>
            <c:strRef>
              <c:f>Pareto_Analysis!$G$3</c:f>
              <c:strCache>
                <c:ptCount val="1"/>
                <c:pt idx="0">
                  <c:v>Cumulative %</c:v>
                </c:pt>
              </c:strCache>
            </c:strRef>
          </c:tx>
          <c:spPr>
            <a:ln w="28575" cap="rnd">
              <a:solidFill>
                <a:schemeClr val="accent2"/>
              </a:solidFill>
              <a:round/>
            </a:ln>
            <a:effectLst/>
          </c:spPr>
          <c:marker>
            <c:symbol val="none"/>
          </c:marker>
          <c:cat>
            <c:strRef>
              <c:f>Pareto_Analysis!$D$4:$D$13</c:f>
              <c:strCache>
                <c:ptCount val="10"/>
                <c:pt idx="0">
                  <c:v>O10</c:v>
                </c:pt>
                <c:pt idx="1">
                  <c:v>O01</c:v>
                </c:pt>
                <c:pt idx="2">
                  <c:v>O09</c:v>
                </c:pt>
                <c:pt idx="3">
                  <c:v>O05</c:v>
                </c:pt>
                <c:pt idx="4">
                  <c:v>O03</c:v>
                </c:pt>
                <c:pt idx="5">
                  <c:v>O02</c:v>
                </c:pt>
                <c:pt idx="6">
                  <c:v>O07</c:v>
                </c:pt>
                <c:pt idx="7">
                  <c:v>O04</c:v>
                </c:pt>
                <c:pt idx="8">
                  <c:v>O06</c:v>
                </c:pt>
                <c:pt idx="9">
                  <c:v>O08</c:v>
                </c:pt>
              </c:strCache>
            </c:strRef>
          </c:cat>
          <c:val>
            <c:numRef>
              <c:f>Pareto_Analysis!$G$4:$G$13</c:f>
              <c:numCache>
                <c:formatCode>0%</c:formatCode>
                <c:ptCount val="10"/>
                <c:pt idx="0">
                  <c:v>0.14543889845094665</c:v>
                </c:pt>
                <c:pt idx="1">
                  <c:v>0.28485370051635112</c:v>
                </c:pt>
                <c:pt idx="2">
                  <c:v>0.4018932874354561</c:v>
                </c:pt>
                <c:pt idx="3">
                  <c:v>0.50559380378657481</c:v>
                </c:pt>
                <c:pt idx="4">
                  <c:v>0.60197934595524949</c:v>
                </c:pt>
                <c:pt idx="5">
                  <c:v>0.696643717728055</c:v>
                </c:pt>
                <c:pt idx="6">
                  <c:v>0.78958691910499135</c:v>
                </c:pt>
                <c:pt idx="7">
                  <c:v>0.87779690189328741</c:v>
                </c:pt>
                <c:pt idx="8">
                  <c:v>0.9487951807228916</c:v>
                </c:pt>
                <c:pt idx="9">
                  <c:v>1</c:v>
                </c:pt>
              </c:numCache>
            </c:numRef>
          </c:val>
          <c:smooth val="0"/>
          <c:extLst>
            <c:ext xmlns:c16="http://schemas.microsoft.com/office/drawing/2014/chart" uri="{C3380CC4-5D6E-409C-BE32-E72D297353CC}">
              <c16:uniqueId val="{00000001-A743-A441-A2C4-26A201B8E5D8}"/>
            </c:ext>
          </c:extLst>
        </c:ser>
        <c:dLbls>
          <c:showLegendKey val="0"/>
          <c:showVal val="0"/>
          <c:showCatName val="0"/>
          <c:showSerName val="0"/>
          <c:showPercent val="0"/>
          <c:showBubbleSize val="0"/>
        </c:dLbls>
        <c:marker val="1"/>
        <c:smooth val="0"/>
        <c:axId val="1445268992"/>
        <c:axId val="1445267200"/>
      </c:lineChart>
      <c:catAx>
        <c:axId val="14453257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445316352"/>
        <c:crosses val="autoZero"/>
        <c:auto val="1"/>
        <c:lblAlgn val="ctr"/>
        <c:lblOffset val="100"/>
        <c:noMultiLvlLbl val="0"/>
      </c:catAx>
      <c:valAx>
        <c:axId val="144531635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445325760"/>
        <c:crosses val="autoZero"/>
        <c:crossBetween val="between"/>
      </c:valAx>
      <c:valAx>
        <c:axId val="1445267200"/>
        <c:scaling>
          <c:orientation val="minMax"/>
          <c:max val="1"/>
        </c:scaling>
        <c:delete val="0"/>
        <c:axPos val="r"/>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445268992"/>
        <c:crosses val="max"/>
        <c:crossBetween val="between"/>
      </c:valAx>
      <c:catAx>
        <c:axId val="1445268992"/>
        <c:scaling>
          <c:orientation val="minMax"/>
        </c:scaling>
        <c:delete val="1"/>
        <c:axPos val="b"/>
        <c:numFmt formatCode="General" sourceLinked="1"/>
        <c:majorTickMark val="out"/>
        <c:minorTickMark val="none"/>
        <c:tickLblPos val="nextTo"/>
        <c:crossAx val="1445267200"/>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r>
              <a:rPr lang="en-CA" sz="1600" b="1"/>
              <a:t>Downtime Pareto Analysis by Date</a:t>
            </a:r>
            <a:endParaRPr lang="en-CA" sz="1600"/>
          </a:p>
        </c:rich>
      </c:tx>
      <c:overlay val="0"/>
      <c:spPr>
        <a:solidFill>
          <a:schemeClr val="bg1">
            <a:lumMod val="95000"/>
          </a:schemeClr>
        </a:solidFill>
        <a:ln>
          <a:noFill/>
        </a:ln>
        <a:effectLst/>
      </c:spPr>
      <c:txPr>
        <a:bodyPr rot="0" spcFirstLastPara="1" vertOverflow="ellipsis" vert="horz" wrap="square" anchor="ctr" anchorCtr="1"/>
        <a:lstStyle/>
        <a:p>
          <a:pPr>
            <a:defRPr sz="1600" b="0" i="0" u="none" strike="noStrike" kern="1200" spc="0" baseline="0">
              <a:solidFill>
                <a:schemeClr val="tx1">
                  <a:lumMod val="65000"/>
                  <a:lumOff val="35000"/>
                </a:schemeClr>
              </a:solidFill>
              <a:latin typeface="+mn-lt"/>
              <a:ea typeface="+mn-ea"/>
              <a:cs typeface="+mn-cs"/>
            </a:defRPr>
          </a:pPr>
          <a:endParaRPr lang="en-CA"/>
        </a:p>
      </c:txPr>
    </c:title>
    <c:autoTitleDeleted val="0"/>
    <c:plotArea>
      <c:layout/>
      <c:barChart>
        <c:barDir val="col"/>
        <c:grouping val="clustered"/>
        <c:varyColors val="0"/>
        <c:ser>
          <c:idx val="0"/>
          <c:order val="0"/>
          <c:tx>
            <c:strRef>
              <c:f>Pareto_Analysis!$E$34</c:f>
              <c:strCache>
                <c:ptCount val="1"/>
                <c:pt idx="0">
                  <c:v>Total Downtime</c:v>
                </c:pt>
              </c:strCache>
            </c:strRef>
          </c:tx>
          <c:spPr>
            <a:solidFill>
              <a:srgbClr val="205295"/>
            </a:solidFill>
            <a:ln>
              <a:noFill/>
            </a:ln>
            <a:effectLst/>
          </c:spPr>
          <c:invertIfNegative val="0"/>
          <c:cat>
            <c:strRef>
              <c:f>Pareto_Analysis!$D$35:$D$64</c:f>
              <c:strCache>
                <c:ptCount val="30"/>
                <c:pt idx="0">
                  <c:v>2025-05-18</c:v>
                </c:pt>
                <c:pt idx="1">
                  <c:v>2025-05-17</c:v>
                </c:pt>
                <c:pt idx="2">
                  <c:v>2025-05-29</c:v>
                </c:pt>
                <c:pt idx="3">
                  <c:v>2025-05-01</c:v>
                </c:pt>
                <c:pt idx="4">
                  <c:v>2025-05-30</c:v>
                </c:pt>
                <c:pt idx="5">
                  <c:v>2025-05-05</c:v>
                </c:pt>
                <c:pt idx="6">
                  <c:v>2025-05-11</c:v>
                </c:pt>
                <c:pt idx="7">
                  <c:v>2025-05-10</c:v>
                </c:pt>
                <c:pt idx="8">
                  <c:v>2025-05-15</c:v>
                </c:pt>
                <c:pt idx="9">
                  <c:v>2025-05-08</c:v>
                </c:pt>
                <c:pt idx="10">
                  <c:v>2025-05-27</c:v>
                </c:pt>
                <c:pt idx="11">
                  <c:v>2025-05-12</c:v>
                </c:pt>
                <c:pt idx="12">
                  <c:v>2025-05-20</c:v>
                </c:pt>
                <c:pt idx="13">
                  <c:v>2025-05-28</c:v>
                </c:pt>
                <c:pt idx="14">
                  <c:v>2025-05-24</c:v>
                </c:pt>
                <c:pt idx="15">
                  <c:v>2025-05-04</c:v>
                </c:pt>
                <c:pt idx="16">
                  <c:v>2025-05-09</c:v>
                </c:pt>
                <c:pt idx="17">
                  <c:v>2025-05-06</c:v>
                </c:pt>
                <c:pt idx="18">
                  <c:v>2025-05-14</c:v>
                </c:pt>
                <c:pt idx="19">
                  <c:v>2025-05-19</c:v>
                </c:pt>
                <c:pt idx="20">
                  <c:v>2025-05-22</c:v>
                </c:pt>
                <c:pt idx="21">
                  <c:v>2025-05-26</c:v>
                </c:pt>
                <c:pt idx="22">
                  <c:v>2025-05-03</c:v>
                </c:pt>
                <c:pt idx="23">
                  <c:v>2025-05-25</c:v>
                </c:pt>
                <c:pt idx="24">
                  <c:v>2025-05-21</c:v>
                </c:pt>
                <c:pt idx="25">
                  <c:v>2025-05-13</c:v>
                </c:pt>
                <c:pt idx="26">
                  <c:v>2025-05-07</c:v>
                </c:pt>
                <c:pt idx="27">
                  <c:v>2025-05-16</c:v>
                </c:pt>
                <c:pt idx="28">
                  <c:v>2025-05-23</c:v>
                </c:pt>
                <c:pt idx="29">
                  <c:v>2025-05-02</c:v>
                </c:pt>
              </c:strCache>
            </c:strRef>
          </c:cat>
          <c:val>
            <c:numRef>
              <c:f>Pareto_Analysis!$E$35:$E$64</c:f>
              <c:numCache>
                <c:formatCode>General</c:formatCode>
                <c:ptCount val="30"/>
                <c:pt idx="0">
                  <c:v>357</c:v>
                </c:pt>
                <c:pt idx="1">
                  <c:v>356</c:v>
                </c:pt>
                <c:pt idx="2">
                  <c:v>350</c:v>
                </c:pt>
                <c:pt idx="3">
                  <c:v>343</c:v>
                </c:pt>
                <c:pt idx="4">
                  <c:v>334</c:v>
                </c:pt>
                <c:pt idx="5">
                  <c:v>316</c:v>
                </c:pt>
                <c:pt idx="6">
                  <c:v>312</c:v>
                </c:pt>
                <c:pt idx="7">
                  <c:v>309</c:v>
                </c:pt>
                <c:pt idx="8">
                  <c:v>302</c:v>
                </c:pt>
                <c:pt idx="9">
                  <c:v>301</c:v>
                </c:pt>
                <c:pt idx="10">
                  <c:v>293</c:v>
                </c:pt>
                <c:pt idx="11">
                  <c:v>282</c:v>
                </c:pt>
                <c:pt idx="12">
                  <c:v>282</c:v>
                </c:pt>
                <c:pt idx="13">
                  <c:v>276</c:v>
                </c:pt>
                <c:pt idx="14">
                  <c:v>275</c:v>
                </c:pt>
                <c:pt idx="15">
                  <c:v>273</c:v>
                </c:pt>
                <c:pt idx="16">
                  <c:v>269</c:v>
                </c:pt>
                <c:pt idx="17">
                  <c:v>268</c:v>
                </c:pt>
                <c:pt idx="18">
                  <c:v>267</c:v>
                </c:pt>
                <c:pt idx="19">
                  <c:v>265</c:v>
                </c:pt>
                <c:pt idx="20">
                  <c:v>264</c:v>
                </c:pt>
                <c:pt idx="21">
                  <c:v>263</c:v>
                </c:pt>
                <c:pt idx="22">
                  <c:v>243</c:v>
                </c:pt>
                <c:pt idx="23">
                  <c:v>234</c:v>
                </c:pt>
                <c:pt idx="24">
                  <c:v>229</c:v>
                </c:pt>
                <c:pt idx="25">
                  <c:v>225</c:v>
                </c:pt>
                <c:pt idx="26">
                  <c:v>219</c:v>
                </c:pt>
                <c:pt idx="27">
                  <c:v>206</c:v>
                </c:pt>
                <c:pt idx="28">
                  <c:v>204</c:v>
                </c:pt>
                <c:pt idx="29">
                  <c:v>197</c:v>
                </c:pt>
              </c:numCache>
            </c:numRef>
          </c:val>
          <c:extLst>
            <c:ext xmlns:c16="http://schemas.microsoft.com/office/drawing/2014/chart" uri="{C3380CC4-5D6E-409C-BE32-E72D297353CC}">
              <c16:uniqueId val="{00000000-75A1-1F42-A923-B9AED3E62AC6}"/>
            </c:ext>
          </c:extLst>
        </c:ser>
        <c:dLbls>
          <c:showLegendKey val="0"/>
          <c:showVal val="0"/>
          <c:showCatName val="0"/>
          <c:showSerName val="0"/>
          <c:showPercent val="0"/>
          <c:showBubbleSize val="0"/>
        </c:dLbls>
        <c:gapWidth val="150"/>
        <c:axId val="1403259520"/>
        <c:axId val="1396586944"/>
      </c:barChart>
      <c:lineChart>
        <c:grouping val="standard"/>
        <c:varyColors val="0"/>
        <c:ser>
          <c:idx val="1"/>
          <c:order val="1"/>
          <c:tx>
            <c:strRef>
              <c:f>Pareto_Analysis!$G$34</c:f>
              <c:strCache>
                <c:ptCount val="1"/>
                <c:pt idx="0">
                  <c:v>Cumulative %</c:v>
                </c:pt>
              </c:strCache>
            </c:strRef>
          </c:tx>
          <c:spPr>
            <a:ln w="28575" cap="rnd">
              <a:solidFill>
                <a:schemeClr val="accent2"/>
              </a:solidFill>
              <a:round/>
            </a:ln>
            <a:effectLst/>
          </c:spPr>
          <c:marker>
            <c:symbol val="none"/>
          </c:marker>
          <c:cat>
            <c:strRef>
              <c:f>Pareto_Analysis!$D$35:$D$64</c:f>
              <c:strCache>
                <c:ptCount val="30"/>
                <c:pt idx="0">
                  <c:v>2025-05-18</c:v>
                </c:pt>
                <c:pt idx="1">
                  <c:v>2025-05-17</c:v>
                </c:pt>
                <c:pt idx="2">
                  <c:v>2025-05-29</c:v>
                </c:pt>
                <c:pt idx="3">
                  <c:v>2025-05-01</c:v>
                </c:pt>
                <c:pt idx="4">
                  <c:v>2025-05-30</c:v>
                </c:pt>
                <c:pt idx="5">
                  <c:v>2025-05-05</c:v>
                </c:pt>
                <c:pt idx="6">
                  <c:v>2025-05-11</c:v>
                </c:pt>
                <c:pt idx="7">
                  <c:v>2025-05-10</c:v>
                </c:pt>
                <c:pt idx="8">
                  <c:v>2025-05-15</c:v>
                </c:pt>
                <c:pt idx="9">
                  <c:v>2025-05-08</c:v>
                </c:pt>
                <c:pt idx="10">
                  <c:v>2025-05-27</c:v>
                </c:pt>
                <c:pt idx="11">
                  <c:v>2025-05-12</c:v>
                </c:pt>
                <c:pt idx="12">
                  <c:v>2025-05-20</c:v>
                </c:pt>
                <c:pt idx="13">
                  <c:v>2025-05-28</c:v>
                </c:pt>
                <c:pt idx="14">
                  <c:v>2025-05-24</c:v>
                </c:pt>
                <c:pt idx="15">
                  <c:v>2025-05-04</c:v>
                </c:pt>
                <c:pt idx="16">
                  <c:v>2025-05-09</c:v>
                </c:pt>
                <c:pt idx="17">
                  <c:v>2025-05-06</c:v>
                </c:pt>
                <c:pt idx="18">
                  <c:v>2025-05-14</c:v>
                </c:pt>
                <c:pt idx="19">
                  <c:v>2025-05-19</c:v>
                </c:pt>
                <c:pt idx="20">
                  <c:v>2025-05-22</c:v>
                </c:pt>
                <c:pt idx="21">
                  <c:v>2025-05-26</c:v>
                </c:pt>
                <c:pt idx="22">
                  <c:v>2025-05-03</c:v>
                </c:pt>
                <c:pt idx="23">
                  <c:v>2025-05-25</c:v>
                </c:pt>
                <c:pt idx="24">
                  <c:v>2025-05-21</c:v>
                </c:pt>
                <c:pt idx="25">
                  <c:v>2025-05-13</c:v>
                </c:pt>
                <c:pt idx="26">
                  <c:v>2025-05-07</c:v>
                </c:pt>
                <c:pt idx="27">
                  <c:v>2025-05-16</c:v>
                </c:pt>
                <c:pt idx="28">
                  <c:v>2025-05-23</c:v>
                </c:pt>
                <c:pt idx="29">
                  <c:v>2025-05-02</c:v>
                </c:pt>
              </c:strCache>
            </c:strRef>
          </c:cat>
          <c:val>
            <c:numRef>
              <c:f>Pareto_Analysis!$G$35:$G$64</c:f>
              <c:numCache>
                <c:formatCode>0%</c:formatCode>
                <c:ptCount val="30"/>
                <c:pt idx="0">
                  <c:v>4.2939619918210249E-2</c:v>
                </c:pt>
                <c:pt idx="1">
                  <c:v>8.5758960789030558E-2</c:v>
                </c:pt>
                <c:pt idx="2">
                  <c:v>0.12785662737551118</c:v>
                </c:pt>
                <c:pt idx="3">
                  <c:v>0.1691123406302622</c:v>
                </c:pt>
                <c:pt idx="4">
                  <c:v>0.20928554245850373</c:v>
                </c:pt>
                <c:pt idx="5">
                  <c:v>0.24729372143372624</c:v>
                </c:pt>
                <c:pt idx="6">
                  <c:v>0.284820784219389</c:v>
                </c:pt>
                <c:pt idx="7">
                  <c:v>0.32198700986288192</c:v>
                </c:pt>
                <c:pt idx="8">
                  <c:v>0.3583112821746452</c:v>
                </c:pt>
                <c:pt idx="9">
                  <c:v>0.39451527543901854</c:v>
                </c:pt>
                <c:pt idx="10">
                  <c:v>0.42975703632427231</c:v>
                </c:pt>
                <c:pt idx="11">
                  <c:v>0.46367572768823673</c:v>
                </c:pt>
                <c:pt idx="12">
                  <c:v>0.49759441905220114</c:v>
                </c:pt>
                <c:pt idx="13">
                  <c:v>0.53079143613182589</c:v>
                </c:pt>
                <c:pt idx="14">
                  <c:v>0.56386817416406065</c:v>
                </c:pt>
                <c:pt idx="15">
                  <c:v>0.59670435410151557</c:v>
                </c:pt>
                <c:pt idx="16">
                  <c:v>0.62905941784941066</c:v>
                </c:pt>
                <c:pt idx="17">
                  <c:v>0.66129420254991578</c:v>
                </c:pt>
                <c:pt idx="18">
                  <c:v>0.69340870820303102</c:v>
                </c:pt>
                <c:pt idx="19">
                  <c:v>0.7252826557613663</c:v>
                </c:pt>
                <c:pt idx="20">
                  <c:v>0.75703632427231171</c:v>
                </c:pt>
                <c:pt idx="21">
                  <c:v>0.78866971373586714</c:v>
                </c:pt>
                <c:pt idx="22">
                  <c:v>0.81789752225162371</c:v>
                </c:pt>
                <c:pt idx="23">
                  <c:v>0.84604281934087078</c:v>
                </c:pt>
                <c:pt idx="24">
                  <c:v>0.87358672119316816</c:v>
                </c:pt>
                <c:pt idx="25">
                  <c:v>0.90064950685590572</c:v>
                </c:pt>
                <c:pt idx="26">
                  <c:v>0.92699061823430362</c:v>
                </c:pt>
                <c:pt idx="27">
                  <c:v>0.9517681019966322</c:v>
                </c:pt>
                <c:pt idx="28">
                  <c:v>0.97630502766418092</c:v>
                </c:pt>
                <c:pt idx="29">
                  <c:v>1</c:v>
                </c:pt>
              </c:numCache>
            </c:numRef>
          </c:val>
          <c:smooth val="0"/>
          <c:extLst>
            <c:ext xmlns:c16="http://schemas.microsoft.com/office/drawing/2014/chart" uri="{C3380CC4-5D6E-409C-BE32-E72D297353CC}">
              <c16:uniqueId val="{00000001-75A1-1F42-A923-B9AED3E62AC6}"/>
            </c:ext>
          </c:extLst>
        </c:ser>
        <c:dLbls>
          <c:showLegendKey val="0"/>
          <c:showVal val="0"/>
          <c:showCatName val="0"/>
          <c:showSerName val="0"/>
          <c:showPercent val="0"/>
          <c:showBubbleSize val="0"/>
        </c:dLbls>
        <c:marker val="1"/>
        <c:smooth val="0"/>
        <c:axId val="1482089216"/>
        <c:axId val="1482087424"/>
      </c:lineChart>
      <c:catAx>
        <c:axId val="1403259520"/>
        <c:scaling>
          <c:orientation val="minMax"/>
        </c:scaling>
        <c:delete val="0"/>
        <c:axPos val="b"/>
        <c:numFmt formatCode="mm/dd"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396586944"/>
        <c:crosses val="autoZero"/>
        <c:auto val="1"/>
        <c:lblAlgn val="ctr"/>
        <c:lblOffset val="100"/>
        <c:noMultiLvlLbl val="0"/>
      </c:catAx>
      <c:valAx>
        <c:axId val="13965869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403259520"/>
        <c:crosses val="autoZero"/>
        <c:crossBetween val="between"/>
      </c:valAx>
      <c:valAx>
        <c:axId val="1482087424"/>
        <c:scaling>
          <c:orientation val="minMax"/>
          <c:max val="1"/>
        </c:scaling>
        <c:delete val="0"/>
        <c:axPos val="r"/>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482089216"/>
        <c:crosses val="max"/>
        <c:crossBetween val="between"/>
      </c:valAx>
      <c:catAx>
        <c:axId val="1482089216"/>
        <c:scaling>
          <c:orientation val="minMax"/>
        </c:scaling>
        <c:delete val="1"/>
        <c:axPos val="b"/>
        <c:numFmt formatCode="General" sourceLinked="1"/>
        <c:majorTickMark val="out"/>
        <c:minorTickMark val="none"/>
        <c:tickLblPos val="nextTo"/>
        <c:crossAx val="148208742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7.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0.xml"/><Relationship Id="rId7" Type="http://schemas.openxmlformats.org/officeDocument/2006/relationships/chart" Target="../charts/chart13.xml"/><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chart" Target="../charts/chart11.xml"/><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50297</xdr:colOff>
      <xdr:row>14</xdr:row>
      <xdr:rowOff>105877</xdr:rowOff>
    </xdr:from>
    <xdr:to>
      <xdr:col>6</xdr:col>
      <xdr:colOff>767030</xdr:colOff>
      <xdr:row>29</xdr:row>
      <xdr:rowOff>19869</xdr:rowOff>
    </xdr:to>
    <xdr:graphicFrame macro="">
      <xdr:nvGraphicFramePr>
        <xdr:cNvPr id="6" name="Chart 5">
          <a:extLst>
            <a:ext uri="{FF2B5EF4-FFF2-40B4-BE49-F238E27FC236}">
              <a16:creationId xmlns:a16="http://schemas.microsoft.com/office/drawing/2014/main" id="{40434C05-4A6A-1E51-026B-C3C8D11D6E1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65386</xdr:colOff>
      <xdr:row>65</xdr:row>
      <xdr:rowOff>143597</xdr:rowOff>
    </xdr:from>
    <xdr:to>
      <xdr:col>7</xdr:col>
      <xdr:colOff>12574</xdr:colOff>
      <xdr:row>80</xdr:row>
      <xdr:rowOff>37722</xdr:rowOff>
    </xdr:to>
    <xdr:graphicFrame macro="">
      <xdr:nvGraphicFramePr>
        <xdr:cNvPr id="10" name="Chart 9">
          <a:extLst>
            <a:ext uri="{FF2B5EF4-FFF2-40B4-BE49-F238E27FC236}">
              <a16:creationId xmlns:a16="http://schemas.microsoft.com/office/drawing/2014/main" id="{1AF2129D-E54C-8B5E-D88E-4A9B422A42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133350</xdr:colOff>
      <xdr:row>8</xdr:row>
      <xdr:rowOff>25400</xdr:rowOff>
    </xdr:from>
    <xdr:to>
      <xdr:col>11</xdr:col>
      <xdr:colOff>25400</xdr:colOff>
      <xdr:row>22</xdr:row>
      <xdr:rowOff>101600</xdr:rowOff>
    </xdr:to>
    <xdr:graphicFrame macro="">
      <xdr:nvGraphicFramePr>
        <xdr:cNvPr id="2" name="Chart 1">
          <a:extLst>
            <a:ext uri="{FF2B5EF4-FFF2-40B4-BE49-F238E27FC236}">
              <a16:creationId xmlns:a16="http://schemas.microsoft.com/office/drawing/2014/main" id="{015066A0-A574-A2C9-81B9-EF7782A731D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21255</xdr:colOff>
      <xdr:row>8</xdr:row>
      <xdr:rowOff>117745</xdr:rowOff>
    </xdr:from>
    <xdr:to>
      <xdr:col>5</xdr:col>
      <xdr:colOff>811092</xdr:colOff>
      <xdr:row>21</xdr:row>
      <xdr:rowOff>149412</xdr:rowOff>
    </xdr:to>
    <xdr:graphicFrame macro="">
      <xdr:nvGraphicFramePr>
        <xdr:cNvPr id="2" name="Chart 1">
          <a:extLst>
            <a:ext uri="{FF2B5EF4-FFF2-40B4-BE49-F238E27FC236}">
              <a16:creationId xmlns:a16="http://schemas.microsoft.com/office/drawing/2014/main" id="{298E6BA4-0173-46A2-EC9D-73B47F533AC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190499</xdr:colOff>
      <xdr:row>10</xdr:row>
      <xdr:rowOff>29633</xdr:rowOff>
    </xdr:from>
    <xdr:to>
      <xdr:col>8</xdr:col>
      <xdr:colOff>10948</xdr:colOff>
      <xdr:row>22</xdr:row>
      <xdr:rowOff>21897</xdr:rowOff>
    </xdr:to>
    <xdr:graphicFrame macro="">
      <xdr:nvGraphicFramePr>
        <xdr:cNvPr id="2" name="Chart 1">
          <a:extLst>
            <a:ext uri="{FF2B5EF4-FFF2-40B4-BE49-F238E27FC236}">
              <a16:creationId xmlns:a16="http://schemas.microsoft.com/office/drawing/2014/main" id="{DCEC19DD-D7C0-0E5F-DEA2-FCE26E5BF70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55562</xdr:colOff>
      <xdr:row>8</xdr:row>
      <xdr:rowOff>38100</xdr:rowOff>
    </xdr:from>
    <xdr:to>
      <xdr:col>7</xdr:col>
      <xdr:colOff>805090</xdr:colOff>
      <xdr:row>35</xdr:row>
      <xdr:rowOff>152400</xdr:rowOff>
    </xdr:to>
    <xdr:graphicFrame macro="">
      <xdr:nvGraphicFramePr>
        <xdr:cNvPr id="3" name="Chart 2">
          <a:extLst>
            <a:ext uri="{FF2B5EF4-FFF2-40B4-BE49-F238E27FC236}">
              <a16:creationId xmlns:a16="http://schemas.microsoft.com/office/drawing/2014/main" id="{808AD41A-E1C8-F420-96E1-19C9C1F0775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76199</xdr:colOff>
      <xdr:row>1</xdr:row>
      <xdr:rowOff>184875</xdr:rowOff>
    </xdr:from>
    <xdr:to>
      <xdr:col>6</xdr:col>
      <xdr:colOff>811834</xdr:colOff>
      <xdr:row>14</xdr:row>
      <xdr:rowOff>25401</xdr:rowOff>
    </xdr:to>
    <xdr:graphicFrame macro="">
      <xdr:nvGraphicFramePr>
        <xdr:cNvPr id="2" name="Chart 1">
          <a:extLst>
            <a:ext uri="{FF2B5EF4-FFF2-40B4-BE49-F238E27FC236}">
              <a16:creationId xmlns:a16="http://schemas.microsoft.com/office/drawing/2014/main" id="{2EF9069C-F285-177E-9028-EC781E21508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xdr:row>
      <xdr:rowOff>187905</xdr:rowOff>
    </xdr:from>
    <xdr:to>
      <xdr:col>3</xdr:col>
      <xdr:colOff>227462</xdr:colOff>
      <xdr:row>18</xdr:row>
      <xdr:rowOff>0</xdr:rowOff>
    </xdr:to>
    <xdr:graphicFrame macro="">
      <xdr:nvGraphicFramePr>
        <xdr:cNvPr id="2" name="Chart 1">
          <a:extLst>
            <a:ext uri="{FF2B5EF4-FFF2-40B4-BE49-F238E27FC236}">
              <a16:creationId xmlns:a16="http://schemas.microsoft.com/office/drawing/2014/main" id="{096A2DDE-14E4-2448-9CA1-8BAE9D2870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442603</xdr:colOff>
      <xdr:row>6</xdr:row>
      <xdr:rowOff>183487</xdr:rowOff>
    </xdr:from>
    <xdr:to>
      <xdr:col>8</xdr:col>
      <xdr:colOff>909849</xdr:colOff>
      <xdr:row>17</xdr:row>
      <xdr:rowOff>246417</xdr:rowOff>
    </xdr:to>
    <xdr:graphicFrame macro="">
      <xdr:nvGraphicFramePr>
        <xdr:cNvPr id="3" name="Chart 2">
          <a:extLst>
            <a:ext uri="{FF2B5EF4-FFF2-40B4-BE49-F238E27FC236}">
              <a16:creationId xmlns:a16="http://schemas.microsoft.com/office/drawing/2014/main" id="{4505F964-3934-E446-8AD1-2AB04C430FD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1099401</xdr:colOff>
      <xdr:row>6</xdr:row>
      <xdr:rowOff>202443</xdr:rowOff>
    </xdr:from>
    <xdr:to>
      <xdr:col>12</xdr:col>
      <xdr:colOff>2009254</xdr:colOff>
      <xdr:row>17</xdr:row>
      <xdr:rowOff>227464</xdr:rowOff>
    </xdr:to>
    <xdr:graphicFrame macro="">
      <xdr:nvGraphicFramePr>
        <xdr:cNvPr id="4" name="Chart 3">
          <a:extLst>
            <a:ext uri="{FF2B5EF4-FFF2-40B4-BE49-F238E27FC236}">
              <a16:creationId xmlns:a16="http://schemas.microsoft.com/office/drawing/2014/main" id="{B6AAB63C-9988-2141-BF1D-E59225280E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762534</xdr:colOff>
      <xdr:row>33</xdr:row>
      <xdr:rowOff>193263</xdr:rowOff>
    </xdr:from>
    <xdr:to>
      <xdr:col>2</xdr:col>
      <xdr:colOff>1402685</xdr:colOff>
      <xdr:row>39</xdr:row>
      <xdr:rowOff>91429</xdr:rowOff>
    </xdr:to>
    <xdr:pic>
      <xdr:nvPicPr>
        <xdr:cNvPr id="5" name="Picture 4">
          <a:extLst>
            <a:ext uri="{FF2B5EF4-FFF2-40B4-BE49-F238E27FC236}">
              <a16:creationId xmlns:a16="http://schemas.microsoft.com/office/drawing/2014/main" id="{23E68823-D40E-E7A8-01E5-530209FBF390}"/>
            </a:ext>
          </a:extLst>
        </xdr:cNvPr>
        <xdr:cNvPicPr>
          <a:picLocks noChangeAspect="1"/>
        </xdr:cNvPicPr>
      </xdr:nvPicPr>
      <xdr:blipFill>
        <a:blip xmlns:r="http://schemas.openxmlformats.org/officeDocument/2006/relationships" r:embed="rId4"/>
        <a:stretch>
          <a:fillRect/>
        </a:stretch>
      </xdr:blipFill>
      <xdr:spPr>
        <a:xfrm>
          <a:off x="762534" y="8704159"/>
          <a:ext cx="3464479" cy="1490404"/>
        </a:xfrm>
        <a:prstGeom prst="rect">
          <a:avLst/>
        </a:prstGeom>
      </xdr:spPr>
    </xdr:pic>
    <xdr:clientData/>
  </xdr:twoCellAnchor>
  <xdr:twoCellAnchor>
    <xdr:from>
      <xdr:col>8</xdr:col>
      <xdr:colOff>1099403</xdr:colOff>
      <xdr:row>18</xdr:row>
      <xdr:rowOff>37910</xdr:rowOff>
    </xdr:from>
    <xdr:to>
      <xdr:col>12</xdr:col>
      <xdr:colOff>1990299</xdr:colOff>
      <xdr:row>32</xdr:row>
      <xdr:rowOff>113731</xdr:rowOff>
    </xdr:to>
    <xdr:graphicFrame macro="">
      <xdr:nvGraphicFramePr>
        <xdr:cNvPr id="6" name="Chart 5">
          <a:extLst>
            <a:ext uri="{FF2B5EF4-FFF2-40B4-BE49-F238E27FC236}">
              <a16:creationId xmlns:a16="http://schemas.microsoft.com/office/drawing/2014/main" id="{0FBAB45B-8039-F345-AB24-85D95E621C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0</xdr:colOff>
      <xdr:row>18</xdr:row>
      <xdr:rowOff>113732</xdr:rowOff>
    </xdr:from>
    <xdr:to>
      <xdr:col>3</xdr:col>
      <xdr:colOff>227461</xdr:colOff>
      <xdr:row>31</xdr:row>
      <xdr:rowOff>222156</xdr:rowOff>
    </xdr:to>
    <xdr:graphicFrame macro="">
      <xdr:nvGraphicFramePr>
        <xdr:cNvPr id="7" name="Chart 6">
          <a:extLst>
            <a:ext uri="{FF2B5EF4-FFF2-40B4-BE49-F238E27FC236}">
              <a16:creationId xmlns:a16="http://schemas.microsoft.com/office/drawing/2014/main" id="{DA90F54A-B951-6C4F-8742-48E799B922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435970</xdr:colOff>
      <xdr:row>18</xdr:row>
      <xdr:rowOff>56866</xdr:rowOff>
    </xdr:from>
    <xdr:to>
      <xdr:col>8</xdr:col>
      <xdr:colOff>909851</xdr:colOff>
      <xdr:row>32</xdr:row>
      <xdr:rowOff>18955</xdr:rowOff>
    </xdr:to>
    <xdr:graphicFrame macro="">
      <xdr:nvGraphicFramePr>
        <xdr:cNvPr id="8" name="Chart 7">
          <a:extLst>
            <a:ext uri="{FF2B5EF4-FFF2-40B4-BE49-F238E27FC236}">
              <a16:creationId xmlns:a16="http://schemas.microsoft.com/office/drawing/2014/main" id="{38315504-B3B2-AD46-89C7-2A0AA9EAC1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Sepehr Mehrvar" id="{59C7E712-CF86-F140-8493-CF71755CD030}" userId="77edc6fdf2a21b38" providerId="Windows Live"/>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epehr Mehrvar" refreshedDate="46096.622313888889" createdVersion="8" refreshedVersion="8" minRefreshableVersion="3" recordCount="270" xr:uid="{71D2421D-2950-894B-98A4-68A4F4D0A2F6}">
  <cacheSource type="worksheet">
    <worksheetSource name="tblProduction"/>
  </cacheSource>
  <cacheFields count="13">
    <cacheField name="Date" numFmtId="14">
      <sharedItems count="30">
        <s v="2025-05-01"/>
        <s v="2025-05-02"/>
        <s v="2025-05-03"/>
        <s v="2025-05-04"/>
        <s v="2025-05-05"/>
        <s v="2025-05-06"/>
        <s v="2025-05-07"/>
        <s v="2025-05-08"/>
        <s v="2025-05-09"/>
        <s v="2025-05-10"/>
        <s v="2025-05-11"/>
        <s v="2025-05-12"/>
        <s v="2025-05-13"/>
        <s v="2025-05-14"/>
        <s v="2025-05-15"/>
        <s v="2025-05-16"/>
        <s v="2025-05-17"/>
        <s v="2025-05-18"/>
        <s v="2025-05-19"/>
        <s v="2025-05-20"/>
        <s v="2025-05-21"/>
        <s v="2025-05-22"/>
        <s v="2025-05-23"/>
        <s v="2025-05-24"/>
        <s v="2025-05-25"/>
        <s v="2025-05-26"/>
        <s v="2025-05-27"/>
        <s v="2025-05-28"/>
        <s v="2025-05-29"/>
        <s v="2025-05-30"/>
      </sharedItems>
    </cacheField>
    <cacheField name="Shift" numFmtId="0">
      <sharedItems count="3">
        <s v="Morning"/>
        <s v="Afternoon"/>
        <s v="Night"/>
      </sharedItems>
    </cacheField>
    <cacheField name="Line_ID" numFmtId="0">
      <sharedItems count="3">
        <s v="L1"/>
        <s v="L2"/>
        <s v="L3"/>
      </sharedItems>
    </cacheField>
    <cacheField name="Product_Type" numFmtId="0">
      <sharedItems count="3">
        <s v="C"/>
        <s v="A"/>
        <s v="B"/>
      </sharedItems>
    </cacheField>
    <cacheField name="Units_Produced" numFmtId="1">
      <sharedItems containsSemiMixedTypes="0" containsString="0" containsNumber="1" containsInteger="1" minValue="200" maxValue="499"/>
    </cacheField>
    <cacheField name="Defects" numFmtId="1">
      <sharedItems containsSemiMixedTypes="0" containsString="0" containsNumber="1" containsInteger="1" minValue="0" maxValue="19"/>
    </cacheField>
    <cacheField name="Downtime_Min" numFmtId="1">
      <sharedItems containsSemiMixedTypes="0" containsString="0" containsNumber="1" containsInteger="1" minValue="0" maxValue="59"/>
    </cacheField>
    <cacheField name="Operator_ID" numFmtId="0">
      <sharedItems count="10">
        <s v="O04"/>
        <s v="O02"/>
        <s v="O01"/>
        <s v="O08"/>
        <s v="O03"/>
        <s v="O10"/>
        <s v="O07"/>
        <s v="O05"/>
        <s v="O06"/>
        <s v="O09"/>
      </sharedItems>
    </cacheField>
    <cacheField name="Machine_Efficiency (%)" numFmtId="0">
      <sharedItems containsSemiMixedTypes="0" containsString="0" containsNumber="1" minValue="70.36" maxValue="99.99"/>
    </cacheField>
    <cacheField name="Downtime_Efficiency" numFmtId="0">
      <sharedItems containsNonDate="0" containsString="0" containsBlank="1"/>
    </cacheField>
    <cacheField name="Defect_Rate" numFmtId="0">
      <sharedItems containsNonDate="0" containsString="0" containsBlank="1"/>
    </cacheField>
    <cacheField name="Avg_Line_efficiency" numFmtId="0">
      <sharedItems containsNonDate="0" containsString="0" containsBlank="1" count="1">
        <m/>
      </sharedItems>
    </cacheField>
    <cacheField name="% of Total " numFmtId="0" formula="Defects/SUM(Defects)" databaseField="0"/>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0">
  <r>
    <x v="0"/>
    <x v="0"/>
    <x v="0"/>
    <x v="0"/>
    <n v="302"/>
    <n v="19"/>
    <n v="28"/>
    <x v="0"/>
    <n v="75.5"/>
    <m/>
    <m/>
    <x v="0"/>
  </r>
  <r>
    <x v="0"/>
    <x v="0"/>
    <x v="1"/>
    <x v="0"/>
    <n v="271"/>
    <n v="6"/>
    <n v="57"/>
    <x v="1"/>
    <n v="74.680000000000007"/>
    <m/>
    <m/>
    <x v="0"/>
  </r>
  <r>
    <x v="0"/>
    <x v="0"/>
    <x v="2"/>
    <x v="1"/>
    <n v="287"/>
    <n v="3"/>
    <n v="39"/>
    <x v="2"/>
    <n v="91.24"/>
    <m/>
    <m/>
    <x v="0"/>
  </r>
  <r>
    <x v="0"/>
    <x v="1"/>
    <x v="0"/>
    <x v="1"/>
    <n v="349"/>
    <n v="1"/>
    <n v="23"/>
    <x v="2"/>
    <n v="94.97"/>
    <m/>
    <m/>
    <x v="0"/>
  </r>
  <r>
    <x v="0"/>
    <x v="1"/>
    <x v="1"/>
    <x v="2"/>
    <n v="493"/>
    <n v="1"/>
    <n v="59"/>
    <x v="3"/>
    <n v="75.5"/>
    <m/>
    <m/>
    <x v="0"/>
  </r>
  <r>
    <x v="0"/>
    <x v="1"/>
    <x v="2"/>
    <x v="0"/>
    <n v="221"/>
    <n v="11"/>
    <n v="24"/>
    <x v="2"/>
    <n v="78.739999999999995"/>
    <m/>
    <m/>
    <x v="0"/>
  </r>
  <r>
    <x v="0"/>
    <x v="2"/>
    <x v="0"/>
    <x v="0"/>
    <n v="258"/>
    <n v="9"/>
    <n v="27"/>
    <x v="4"/>
    <n v="99.21"/>
    <m/>
    <m/>
    <x v="0"/>
  </r>
  <r>
    <x v="0"/>
    <x v="2"/>
    <x v="1"/>
    <x v="1"/>
    <n v="470"/>
    <n v="14"/>
    <n v="50"/>
    <x v="5"/>
    <n v="81.47"/>
    <m/>
    <m/>
    <x v="0"/>
  </r>
  <r>
    <x v="0"/>
    <x v="2"/>
    <x v="2"/>
    <x v="2"/>
    <n v="443"/>
    <n v="2"/>
    <n v="36"/>
    <x v="1"/>
    <n v="88.23"/>
    <m/>
    <m/>
    <x v="0"/>
  </r>
  <r>
    <x v="1"/>
    <x v="0"/>
    <x v="0"/>
    <x v="0"/>
    <n v="220"/>
    <n v="8"/>
    <n v="38"/>
    <x v="6"/>
    <n v="70.400000000000006"/>
    <m/>
    <m/>
    <x v="0"/>
  </r>
  <r>
    <x v="1"/>
    <x v="0"/>
    <x v="1"/>
    <x v="2"/>
    <n v="288"/>
    <n v="13"/>
    <n v="49"/>
    <x v="2"/>
    <n v="81.56"/>
    <m/>
    <m/>
    <x v="0"/>
  </r>
  <r>
    <x v="1"/>
    <x v="0"/>
    <x v="2"/>
    <x v="2"/>
    <n v="252"/>
    <n v="1"/>
    <n v="19"/>
    <x v="0"/>
    <n v="77.23"/>
    <m/>
    <m/>
    <x v="0"/>
  </r>
  <r>
    <x v="1"/>
    <x v="1"/>
    <x v="0"/>
    <x v="1"/>
    <n v="463"/>
    <n v="14"/>
    <n v="34"/>
    <x v="2"/>
    <n v="97.28"/>
    <m/>
    <m/>
    <x v="0"/>
  </r>
  <r>
    <x v="1"/>
    <x v="1"/>
    <x v="1"/>
    <x v="0"/>
    <n v="249"/>
    <n v="7"/>
    <n v="3"/>
    <x v="6"/>
    <n v="79.349999999999994"/>
    <m/>
    <m/>
    <x v="0"/>
  </r>
  <r>
    <x v="1"/>
    <x v="1"/>
    <x v="2"/>
    <x v="0"/>
    <n v="253"/>
    <n v="9"/>
    <n v="3"/>
    <x v="0"/>
    <n v="75.55"/>
    <m/>
    <m/>
    <x v="0"/>
  </r>
  <r>
    <x v="1"/>
    <x v="2"/>
    <x v="0"/>
    <x v="2"/>
    <n v="390"/>
    <n v="17"/>
    <n v="25"/>
    <x v="5"/>
    <n v="83.49"/>
    <m/>
    <m/>
    <x v="0"/>
  </r>
  <r>
    <x v="1"/>
    <x v="2"/>
    <x v="1"/>
    <x v="2"/>
    <n v="401"/>
    <n v="3"/>
    <n v="13"/>
    <x v="7"/>
    <n v="91.82"/>
    <m/>
    <m/>
    <x v="0"/>
  </r>
  <r>
    <x v="1"/>
    <x v="2"/>
    <x v="2"/>
    <x v="1"/>
    <n v="470"/>
    <n v="7"/>
    <n v="13"/>
    <x v="2"/>
    <n v="75.88"/>
    <m/>
    <m/>
    <x v="0"/>
  </r>
  <r>
    <x v="2"/>
    <x v="0"/>
    <x v="0"/>
    <x v="0"/>
    <n v="389"/>
    <n v="7"/>
    <n v="20"/>
    <x v="1"/>
    <n v="81.66"/>
    <m/>
    <m/>
    <x v="0"/>
  </r>
  <r>
    <x v="2"/>
    <x v="0"/>
    <x v="1"/>
    <x v="2"/>
    <n v="252"/>
    <n v="12"/>
    <n v="40"/>
    <x v="5"/>
    <n v="78.89"/>
    <m/>
    <m/>
    <x v="0"/>
  </r>
  <r>
    <x v="2"/>
    <x v="0"/>
    <x v="2"/>
    <x v="2"/>
    <n v="264"/>
    <n v="6"/>
    <n v="8"/>
    <x v="6"/>
    <n v="93.17"/>
    <m/>
    <m/>
    <x v="0"/>
  </r>
  <r>
    <x v="2"/>
    <x v="1"/>
    <x v="0"/>
    <x v="0"/>
    <n v="335"/>
    <n v="10"/>
    <n v="50"/>
    <x v="8"/>
    <n v="91.21"/>
    <m/>
    <m/>
    <x v="0"/>
  </r>
  <r>
    <x v="2"/>
    <x v="1"/>
    <x v="1"/>
    <x v="1"/>
    <n v="362"/>
    <n v="2"/>
    <n v="32"/>
    <x v="3"/>
    <n v="88.18"/>
    <m/>
    <m/>
    <x v="0"/>
  </r>
  <r>
    <x v="2"/>
    <x v="1"/>
    <x v="2"/>
    <x v="1"/>
    <n v="430"/>
    <n v="8"/>
    <n v="27"/>
    <x v="2"/>
    <n v="95.89"/>
    <m/>
    <m/>
    <x v="0"/>
  </r>
  <r>
    <x v="2"/>
    <x v="2"/>
    <x v="0"/>
    <x v="0"/>
    <n v="467"/>
    <n v="1"/>
    <n v="32"/>
    <x v="8"/>
    <n v="71.91"/>
    <m/>
    <m/>
    <x v="0"/>
  </r>
  <r>
    <x v="2"/>
    <x v="2"/>
    <x v="1"/>
    <x v="2"/>
    <n v="261"/>
    <n v="4"/>
    <n v="34"/>
    <x v="7"/>
    <n v="87.74"/>
    <m/>
    <m/>
    <x v="0"/>
  </r>
  <r>
    <x v="2"/>
    <x v="2"/>
    <x v="2"/>
    <x v="0"/>
    <n v="413"/>
    <n v="2"/>
    <n v="0"/>
    <x v="2"/>
    <n v="81.489999999999995"/>
    <m/>
    <m/>
    <x v="0"/>
  </r>
  <r>
    <x v="3"/>
    <x v="0"/>
    <x v="0"/>
    <x v="2"/>
    <n v="330"/>
    <n v="0"/>
    <n v="4"/>
    <x v="2"/>
    <n v="86.84"/>
    <m/>
    <m/>
    <x v="0"/>
  </r>
  <r>
    <x v="3"/>
    <x v="0"/>
    <x v="1"/>
    <x v="0"/>
    <n v="454"/>
    <n v="13"/>
    <n v="38"/>
    <x v="3"/>
    <n v="71.209999999999994"/>
    <m/>
    <m/>
    <x v="0"/>
  </r>
  <r>
    <x v="3"/>
    <x v="0"/>
    <x v="2"/>
    <x v="0"/>
    <n v="406"/>
    <n v="14"/>
    <n v="25"/>
    <x v="4"/>
    <n v="70.760000000000005"/>
    <m/>
    <m/>
    <x v="0"/>
  </r>
  <r>
    <x v="3"/>
    <x v="1"/>
    <x v="0"/>
    <x v="0"/>
    <n v="378"/>
    <n v="6"/>
    <n v="48"/>
    <x v="1"/>
    <n v="79.430000000000007"/>
    <m/>
    <m/>
    <x v="0"/>
  </r>
  <r>
    <x v="3"/>
    <x v="1"/>
    <x v="1"/>
    <x v="0"/>
    <n v="295"/>
    <n v="3"/>
    <n v="29"/>
    <x v="6"/>
    <n v="74.180000000000007"/>
    <m/>
    <m/>
    <x v="0"/>
  </r>
  <r>
    <x v="3"/>
    <x v="1"/>
    <x v="2"/>
    <x v="1"/>
    <n v="430"/>
    <n v="12"/>
    <n v="14"/>
    <x v="1"/>
    <n v="92.67"/>
    <m/>
    <m/>
    <x v="0"/>
  </r>
  <r>
    <x v="3"/>
    <x v="2"/>
    <x v="0"/>
    <x v="1"/>
    <n v="235"/>
    <n v="12"/>
    <n v="31"/>
    <x v="1"/>
    <n v="87.97"/>
    <m/>
    <m/>
    <x v="0"/>
  </r>
  <r>
    <x v="3"/>
    <x v="2"/>
    <x v="1"/>
    <x v="2"/>
    <n v="442"/>
    <n v="1"/>
    <n v="41"/>
    <x v="6"/>
    <n v="94.24"/>
    <m/>
    <m/>
    <x v="0"/>
  </r>
  <r>
    <x v="3"/>
    <x v="2"/>
    <x v="2"/>
    <x v="2"/>
    <n v="333"/>
    <n v="11"/>
    <n v="43"/>
    <x v="0"/>
    <n v="82.5"/>
    <m/>
    <m/>
    <x v="0"/>
  </r>
  <r>
    <x v="4"/>
    <x v="0"/>
    <x v="0"/>
    <x v="2"/>
    <n v="327"/>
    <n v="6"/>
    <n v="32"/>
    <x v="4"/>
    <n v="78.16"/>
    <m/>
    <m/>
    <x v="0"/>
  </r>
  <r>
    <x v="4"/>
    <x v="0"/>
    <x v="1"/>
    <x v="0"/>
    <n v="482"/>
    <n v="19"/>
    <n v="12"/>
    <x v="0"/>
    <n v="95.82"/>
    <m/>
    <m/>
    <x v="0"/>
  </r>
  <r>
    <x v="4"/>
    <x v="0"/>
    <x v="2"/>
    <x v="2"/>
    <n v="397"/>
    <n v="7"/>
    <n v="26"/>
    <x v="8"/>
    <n v="82.52"/>
    <m/>
    <m/>
    <x v="0"/>
  </r>
  <r>
    <x v="4"/>
    <x v="1"/>
    <x v="0"/>
    <x v="2"/>
    <n v="364"/>
    <n v="0"/>
    <n v="50"/>
    <x v="6"/>
    <n v="78.08"/>
    <m/>
    <m/>
    <x v="0"/>
  </r>
  <r>
    <x v="4"/>
    <x v="1"/>
    <x v="1"/>
    <x v="2"/>
    <n v="351"/>
    <n v="14"/>
    <n v="58"/>
    <x v="7"/>
    <n v="79.7"/>
    <m/>
    <m/>
    <x v="0"/>
  </r>
  <r>
    <x v="4"/>
    <x v="1"/>
    <x v="2"/>
    <x v="1"/>
    <n v="295"/>
    <n v="8"/>
    <n v="51"/>
    <x v="5"/>
    <n v="80.91"/>
    <m/>
    <m/>
    <x v="0"/>
  </r>
  <r>
    <x v="4"/>
    <x v="2"/>
    <x v="0"/>
    <x v="2"/>
    <n v="251"/>
    <n v="11"/>
    <n v="38"/>
    <x v="8"/>
    <n v="84.92"/>
    <m/>
    <m/>
    <x v="0"/>
  </r>
  <r>
    <x v="4"/>
    <x v="2"/>
    <x v="1"/>
    <x v="1"/>
    <n v="312"/>
    <n v="4"/>
    <n v="48"/>
    <x v="0"/>
    <n v="99.93"/>
    <m/>
    <m/>
    <x v="0"/>
  </r>
  <r>
    <x v="4"/>
    <x v="2"/>
    <x v="2"/>
    <x v="1"/>
    <n v="386"/>
    <n v="16"/>
    <n v="1"/>
    <x v="4"/>
    <n v="85.08"/>
    <m/>
    <m/>
    <x v="0"/>
  </r>
  <r>
    <x v="5"/>
    <x v="0"/>
    <x v="0"/>
    <x v="1"/>
    <n v="253"/>
    <n v="4"/>
    <n v="31"/>
    <x v="9"/>
    <n v="97.25"/>
    <m/>
    <m/>
    <x v="0"/>
  </r>
  <r>
    <x v="5"/>
    <x v="0"/>
    <x v="1"/>
    <x v="2"/>
    <n v="325"/>
    <n v="1"/>
    <n v="52"/>
    <x v="7"/>
    <n v="84.68"/>
    <m/>
    <m/>
    <x v="0"/>
  </r>
  <r>
    <x v="5"/>
    <x v="0"/>
    <x v="2"/>
    <x v="0"/>
    <n v="359"/>
    <n v="5"/>
    <n v="31"/>
    <x v="4"/>
    <n v="87.78"/>
    <m/>
    <m/>
    <x v="0"/>
  </r>
  <r>
    <x v="5"/>
    <x v="1"/>
    <x v="0"/>
    <x v="2"/>
    <n v="402"/>
    <n v="16"/>
    <n v="37"/>
    <x v="1"/>
    <n v="81.03"/>
    <m/>
    <m/>
    <x v="0"/>
  </r>
  <r>
    <x v="5"/>
    <x v="1"/>
    <x v="1"/>
    <x v="1"/>
    <n v="297"/>
    <n v="5"/>
    <n v="21"/>
    <x v="4"/>
    <n v="86.07"/>
    <m/>
    <m/>
    <x v="0"/>
  </r>
  <r>
    <x v="5"/>
    <x v="1"/>
    <x v="2"/>
    <x v="2"/>
    <n v="439"/>
    <n v="15"/>
    <n v="32"/>
    <x v="5"/>
    <n v="74.52"/>
    <m/>
    <m/>
    <x v="0"/>
  </r>
  <r>
    <x v="5"/>
    <x v="2"/>
    <x v="0"/>
    <x v="1"/>
    <n v="386"/>
    <n v="5"/>
    <n v="15"/>
    <x v="5"/>
    <n v="71.22"/>
    <m/>
    <m/>
    <x v="0"/>
  </r>
  <r>
    <x v="5"/>
    <x v="2"/>
    <x v="1"/>
    <x v="1"/>
    <n v="347"/>
    <n v="3"/>
    <n v="18"/>
    <x v="5"/>
    <n v="91.33"/>
    <m/>
    <m/>
    <x v="0"/>
  </r>
  <r>
    <x v="5"/>
    <x v="2"/>
    <x v="2"/>
    <x v="1"/>
    <n v="346"/>
    <n v="19"/>
    <n v="31"/>
    <x v="1"/>
    <n v="72.89"/>
    <m/>
    <m/>
    <x v="0"/>
  </r>
  <r>
    <x v="6"/>
    <x v="0"/>
    <x v="0"/>
    <x v="2"/>
    <n v="327"/>
    <n v="6"/>
    <n v="17"/>
    <x v="9"/>
    <n v="95.13"/>
    <m/>
    <m/>
    <x v="0"/>
  </r>
  <r>
    <x v="6"/>
    <x v="0"/>
    <x v="1"/>
    <x v="2"/>
    <n v="466"/>
    <n v="17"/>
    <n v="22"/>
    <x v="2"/>
    <n v="86.24"/>
    <m/>
    <m/>
    <x v="0"/>
  </r>
  <r>
    <x v="6"/>
    <x v="0"/>
    <x v="2"/>
    <x v="2"/>
    <n v="497"/>
    <n v="2"/>
    <n v="6"/>
    <x v="9"/>
    <n v="89.8"/>
    <m/>
    <m/>
    <x v="0"/>
  </r>
  <r>
    <x v="6"/>
    <x v="1"/>
    <x v="0"/>
    <x v="2"/>
    <n v="311"/>
    <n v="19"/>
    <n v="59"/>
    <x v="9"/>
    <n v="77.819999999999993"/>
    <m/>
    <m/>
    <x v="0"/>
  </r>
  <r>
    <x v="6"/>
    <x v="1"/>
    <x v="1"/>
    <x v="0"/>
    <n v="453"/>
    <n v="11"/>
    <n v="4"/>
    <x v="9"/>
    <n v="97.01"/>
    <m/>
    <m/>
    <x v="0"/>
  </r>
  <r>
    <x v="6"/>
    <x v="1"/>
    <x v="2"/>
    <x v="1"/>
    <n v="208"/>
    <n v="8"/>
    <n v="34"/>
    <x v="9"/>
    <n v="91.01"/>
    <m/>
    <m/>
    <x v="0"/>
  </r>
  <r>
    <x v="6"/>
    <x v="2"/>
    <x v="0"/>
    <x v="1"/>
    <n v="407"/>
    <n v="2"/>
    <n v="19"/>
    <x v="7"/>
    <n v="96.61"/>
    <m/>
    <m/>
    <x v="0"/>
  </r>
  <r>
    <x v="6"/>
    <x v="2"/>
    <x v="1"/>
    <x v="1"/>
    <n v="319"/>
    <n v="0"/>
    <n v="23"/>
    <x v="7"/>
    <n v="95.53"/>
    <m/>
    <m/>
    <x v="0"/>
  </r>
  <r>
    <x v="6"/>
    <x v="2"/>
    <x v="2"/>
    <x v="2"/>
    <n v="312"/>
    <n v="7"/>
    <n v="35"/>
    <x v="0"/>
    <n v="96.96"/>
    <m/>
    <m/>
    <x v="0"/>
  </r>
  <r>
    <x v="7"/>
    <x v="0"/>
    <x v="0"/>
    <x v="2"/>
    <n v="453"/>
    <n v="2"/>
    <n v="47"/>
    <x v="9"/>
    <n v="73.040000000000006"/>
    <m/>
    <m/>
    <x v="0"/>
  </r>
  <r>
    <x v="7"/>
    <x v="0"/>
    <x v="1"/>
    <x v="1"/>
    <n v="298"/>
    <n v="17"/>
    <n v="45"/>
    <x v="2"/>
    <n v="86.46"/>
    <m/>
    <m/>
    <x v="0"/>
  </r>
  <r>
    <x v="7"/>
    <x v="0"/>
    <x v="2"/>
    <x v="0"/>
    <n v="362"/>
    <n v="15"/>
    <n v="40"/>
    <x v="9"/>
    <n v="75.28"/>
    <m/>
    <m/>
    <x v="0"/>
  </r>
  <r>
    <x v="7"/>
    <x v="1"/>
    <x v="0"/>
    <x v="2"/>
    <n v="267"/>
    <n v="0"/>
    <n v="13"/>
    <x v="8"/>
    <n v="79.760000000000005"/>
    <m/>
    <m/>
    <x v="0"/>
  </r>
  <r>
    <x v="7"/>
    <x v="1"/>
    <x v="1"/>
    <x v="2"/>
    <n v="334"/>
    <n v="2"/>
    <n v="16"/>
    <x v="8"/>
    <n v="79.239999999999995"/>
    <m/>
    <m/>
    <x v="0"/>
  </r>
  <r>
    <x v="7"/>
    <x v="1"/>
    <x v="2"/>
    <x v="0"/>
    <n v="375"/>
    <n v="11"/>
    <n v="58"/>
    <x v="0"/>
    <n v="81.03"/>
    <m/>
    <m/>
    <x v="0"/>
  </r>
  <r>
    <x v="7"/>
    <x v="2"/>
    <x v="0"/>
    <x v="1"/>
    <n v="221"/>
    <n v="13"/>
    <n v="29"/>
    <x v="8"/>
    <n v="99.19"/>
    <m/>
    <m/>
    <x v="0"/>
  </r>
  <r>
    <x v="7"/>
    <x v="2"/>
    <x v="1"/>
    <x v="1"/>
    <n v="250"/>
    <n v="7"/>
    <n v="26"/>
    <x v="5"/>
    <n v="83.03"/>
    <m/>
    <m/>
    <x v="0"/>
  </r>
  <r>
    <x v="7"/>
    <x v="2"/>
    <x v="2"/>
    <x v="0"/>
    <n v="476"/>
    <n v="0"/>
    <n v="27"/>
    <x v="5"/>
    <n v="90.07"/>
    <m/>
    <m/>
    <x v="0"/>
  </r>
  <r>
    <x v="8"/>
    <x v="0"/>
    <x v="0"/>
    <x v="0"/>
    <n v="346"/>
    <n v="3"/>
    <n v="34"/>
    <x v="4"/>
    <n v="93.06"/>
    <m/>
    <m/>
    <x v="0"/>
  </r>
  <r>
    <x v="8"/>
    <x v="0"/>
    <x v="1"/>
    <x v="1"/>
    <n v="216"/>
    <n v="11"/>
    <n v="27"/>
    <x v="9"/>
    <n v="84.1"/>
    <m/>
    <m/>
    <x v="0"/>
  </r>
  <r>
    <x v="8"/>
    <x v="0"/>
    <x v="2"/>
    <x v="2"/>
    <n v="245"/>
    <n v="5"/>
    <n v="34"/>
    <x v="5"/>
    <n v="92.43"/>
    <m/>
    <m/>
    <x v="0"/>
  </r>
  <r>
    <x v="8"/>
    <x v="1"/>
    <x v="0"/>
    <x v="2"/>
    <n v="236"/>
    <n v="16"/>
    <n v="45"/>
    <x v="0"/>
    <n v="99"/>
    <m/>
    <m/>
    <x v="0"/>
  </r>
  <r>
    <x v="8"/>
    <x v="1"/>
    <x v="1"/>
    <x v="0"/>
    <n v="298"/>
    <n v="0"/>
    <n v="51"/>
    <x v="9"/>
    <n v="78.83"/>
    <m/>
    <m/>
    <x v="0"/>
  </r>
  <r>
    <x v="8"/>
    <x v="1"/>
    <x v="2"/>
    <x v="0"/>
    <n v="360"/>
    <n v="2"/>
    <n v="17"/>
    <x v="1"/>
    <n v="86.7"/>
    <m/>
    <m/>
    <x v="0"/>
  </r>
  <r>
    <x v="8"/>
    <x v="2"/>
    <x v="0"/>
    <x v="0"/>
    <n v="422"/>
    <n v="2"/>
    <n v="39"/>
    <x v="6"/>
    <n v="72.11"/>
    <m/>
    <m/>
    <x v="0"/>
  </r>
  <r>
    <x v="8"/>
    <x v="2"/>
    <x v="1"/>
    <x v="2"/>
    <n v="313"/>
    <n v="14"/>
    <n v="21"/>
    <x v="7"/>
    <n v="80.760000000000005"/>
    <m/>
    <m/>
    <x v="0"/>
  </r>
  <r>
    <x v="8"/>
    <x v="2"/>
    <x v="2"/>
    <x v="1"/>
    <n v="326"/>
    <n v="9"/>
    <n v="1"/>
    <x v="8"/>
    <n v="79.680000000000007"/>
    <m/>
    <m/>
    <x v="0"/>
  </r>
  <r>
    <x v="9"/>
    <x v="0"/>
    <x v="0"/>
    <x v="0"/>
    <n v="303"/>
    <n v="0"/>
    <n v="8"/>
    <x v="6"/>
    <n v="91.07"/>
    <m/>
    <m/>
    <x v="0"/>
  </r>
  <r>
    <x v="9"/>
    <x v="0"/>
    <x v="1"/>
    <x v="1"/>
    <n v="375"/>
    <n v="6"/>
    <n v="28"/>
    <x v="4"/>
    <n v="78.900000000000006"/>
    <m/>
    <m/>
    <x v="0"/>
  </r>
  <r>
    <x v="9"/>
    <x v="0"/>
    <x v="2"/>
    <x v="0"/>
    <n v="225"/>
    <n v="2"/>
    <n v="49"/>
    <x v="3"/>
    <n v="96.01"/>
    <m/>
    <m/>
    <x v="0"/>
  </r>
  <r>
    <x v="9"/>
    <x v="1"/>
    <x v="0"/>
    <x v="0"/>
    <n v="212"/>
    <n v="6"/>
    <n v="56"/>
    <x v="6"/>
    <n v="88.84"/>
    <m/>
    <m/>
    <x v="0"/>
  </r>
  <r>
    <x v="9"/>
    <x v="1"/>
    <x v="1"/>
    <x v="1"/>
    <n v="219"/>
    <n v="0"/>
    <n v="7"/>
    <x v="8"/>
    <n v="91.06"/>
    <m/>
    <m/>
    <x v="0"/>
  </r>
  <r>
    <x v="9"/>
    <x v="1"/>
    <x v="2"/>
    <x v="2"/>
    <n v="341"/>
    <n v="11"/>
    <n v="50"/>
    <x v="8"/>
    <n v="80.14"/>
    <m/>
    <m/>
    <x v="0"/>
  </r>
  <r>
    <x v="9"/>
    <x v="2"/>
    <x v="0"/>
    <x v="0"/>
    <n v="291"/>
    <n v="1"/>
    <n v="1"/>
    <x v="9"/>
    <n v="83.15"/>
    <m/>
    <m/>
    <x v="0"/>
  </r>
  <r>
    <x v="9"/>
    <x v="2"/>
    <x v="1"/>
    <x v="2"/>
    <n v="250"/>
    <n v="16"/>
    <n v="51"/>
    <x v="9"/>
    <n v="71.17"/>
    <m/>
    <m/>
    <x v="0"/>
  </r>
  <r>
    <x v="9"/>
    <x v="2"/>
    <x v="2"/>
    <x v="2"/>
    <n v="470"/>
    <n v="10"/>
    <n v="59"/>
    <x v="6"/>
    <n v="79.8"/>
    <m/>
    <m/>
    <x v="0"/>
  </r>
  <r>
    <x v="10"/>
    <x v="0"/>
    <x v="0"/>
    <x v="0"/>
    <n v="463"/>
    <n v="11"/>
    <n v="43"/>
    <x v="2"/>
    <n v="88.69"/>
    <m/>
    <m/>
    <x v="0"/>
  </r>
  <r>
    <x v="10"/>
    <x v="0"/>
    <x v="1"/>
    <x v="0"/>
    <n v="395"/>
    <n v="5"/>
    <n v="44"/>
    <x v="2"/>
    <n v="75.83"/>
    <m/>
    <m/>
    <x v="0"/>
  </r>
  <r>
    <x v="10"/>
    <x v="0"/>
    <x v="2"/>
    <x v="2"/>
    <n v="246"/>
    <n v="2"/>
    <n v="54"/>
    <x v="3"/>
    <n v="74.150000000000006"/>
    <m/>
    <m/>
    <x v="0"/>
  </r>
  <r>
    <x v="10"/>
    <x v="1"/>
    <x v="0"/>
    <x v="1"/>
    <n v="343"/>
    <n v="12"/>
    <n v="49"/>
    <x v="5"/>
    <n v="85.49"/>
    <m/>
    <m/>
    <x v="0"/>
  </r>
  <r>
    <x v="10"/>
    <x v="1"/>
    <x v="1"/>
    <x v="0"/>
    <n v="357"/>
    <n v="18"/>
    <n v="16"/>
    <x v="9"/>
    <n v="81.96"/>
    <m/>
    <m/>
    <x v="0"/>
  </r>
  <r>
    <x v="10"/>
    <x v="1"/>
    <x v="2"/>
    <x v="2"/>
    <n v="474"/>
    <n v="4"/>
    <n v="25"/>
    <x v="1"/>
    <n v="98.88"/>
    <m/>
    <m/>
    <x v="0"/>
  </r>
  <r>
    <x v="10"/>
    <x v="2"/>
    <x v="0"/>
    <x v="2"/>
    <n v="478"/>
    <n v="8"/>
    <n v="11"/>
    <x v="5"/>
    <n v="82.27"/>
    <m/>
    <m/>
    <x v="0"/>
  </r>
  <r>
    <x v="10"/>
    <x v="2"/>
    <x v="1"/>
    <x v="2"/>
    <n v="257"/>
    <n v="0"/>
    <n v="46"/>
    <x v="4"/>
    <n v="77.510000000000005"/>
    <m/>
    <m/>
    <x v="0"/>
  </r>
  <r>
    <x v="10"/>
    <x v="2"/>
    <x v="2"/>
    <x v="2"/>
    <n v="325"/>
    <n v="15"/>
    <n v="24"/>
    <x v="5"/>
    <n v="89.81"/>
    <m/>
    <m/>
    <x v="0"/>
  </r>
  <r>
    <x v="11"/>
    <x v="0"/>
    <x v="0"/>
    <x v="1"/>
    <n v="471"/>
    <n v="6"/>
    <n v="4"/>
    <x v="0"/>
    <n v="88.35"/>
    <m/>
    <m/>
    <x v="0"/>
  </r>
  <r>
    <x v="11"/>
    <x v="0"/>
    <x v="1"/>
    <x v="2"/>
    <n v="446"/>
    <n v="2"/>
    <n v="11"/>
    <x v="0"/>
    <n v="86.98"/>
    <m/>
    <m/>
    <x v="0"/>
  </r>
  <r>
    <x v="11"/>
    <x v="0"/>
    <x v="2"/>
    <x v="1"/>
    <n v="285"/>
    <n v="13"/>
    <n v="27"/>
    <x v="9"/>
    <n v="71.38"/>
    <m/>
    <m/>
    <x v="0"/>
  </r>
  <r>
    <x v="11"/>
    <x v="1"/>
    <x v="0"/>
    <x v="0"/>
    <n v="293"/>
    <n v="13"/>
    <n v="51"/>
    <x v="9"/>
    <n v="75.260000000000005"/>
    <m/>
    <m/>
    <x v="0"/>
  </r>
  <r>
    <x v="11"/>
    <x v="1"/>
    <x v="1"/>
    <x v="0"/>
    <n v="417"/>
    <n v="15"/>
    <n v="20"/>
    <x v="1"/>
    <n v="84.2"/>
    <m/>
    <m/>
    <x v="0"/>
  </r>
  <r>
    <x v="11"/>
    <x v="1"/>
    <x v="2"/>
    <x v="0"/>
    <n v="488"/>
    <n v="4"/>
    <n v="22"/>
    <x v="6"/>
    <n v="71.44"/>
    <m/>
    <m/>
    <x v="0"/>
  </r>
  <r>
    <x v="11"/>
    <x v="2"/>
    <x v="0"/>
    <x v="0"/>
    <n v="445"/>
    <n v="4"/>
    <n v="35"/>
    <x v="5"/>
    <n v="71.36"/>
    <m/>
    <m/>
    <x v="0"/>
  </r>
  <r>
    <x v="11"/>
    <x v="2"/>
    <x v="1"/>
    <x v="1"/>
    <n v="422"/>
    <n v="9"/>
    <n v="57"/>
    <x v="9"/>
    <n v="98"/>
    <m/>
    <m/>
    <x v="0"/>
  </r>
  <r>
    <x v="11"/>
    <x v="2"/>
    <x v="2"/>
    <x v="1"/>
    <n v="295"/>
    <n v="0"/>
    <n v="55"/>
    <x v="7"/>
    <n v="89.76"/>
    <m/>
    <m/>
    <x v="0"/>
  </r>
  <r>
    <x v="12"/>
    <x v="0"/>
    <x v="0"/>
    <x v="2"/>
    <n v="203"/>
    <n v="15"/>
    <n v="23"/>
    <x v="5"/>
    <n v="98.32"/>
    <m/>
    <m/>
    <x v="0"/>
  </r>
  <r>
    <x v="12"/>
    <x v="0"/>
    <x v="1"/>
    <x v="1"/>
    <n v="457"/>
    <n v="16"/>
    <n v="27"/>
    <x v="2"/>
    <n v="87.57"/>
    <m/>
    <m/>
    <x v="0"/>
  </r>
  <r>
    <x v="12"/>
    <x v="0"/>
    <x v="2"/>
    <x v="0"/>
    <n v="351"/>
    <n v="11"/>
    <n v="49"/>
    <x v="0"/>
    <n v="87.2"/>
    <m/>
    <m/>
    <x v="0"/>
  </r>
  <r>
    <x v="12"/>
    <x v="1"/>
    <x v="0"/>
    <x v="1"/>
    <n v="232"/>
    <n v="0"/>
    <n v="50"/>
    <x v="7"/>
    <n v="94.62"/>
    <m/>
    <m/>
    <x v="0"/>
  </r>
  <r>
    <x v="12"/>
    <x v="1"/>
    <x v="1"/>
    <x v="2"/>
    <n v="467"/>
    <n v="2"/>
    <n v="0"/>
    <x v="9"/>
    <n v="98.84"/>
    <m/>
    <m/>
    <x v="0"/>
  </r>
  <r>
    <x v="12"/>
    <x v="1"/>
    <x v="2"/>
    <x v="0"/>
    <n v="242"/>
    <n v="11"/>
    <n v="28"/>
    <x v="7"/>
    <n v="72.08"/>
    <m/>
    <m/>
    <x v="0"/>
  </r>
  <r>
    <x v="12"/>
    <x v="2"/>
    <x v="0"/>
    <x v="2"/>
    <n v="294"/>
    <n v="13"/>
    <n v="1"/>
    <x v="4"/>
    <n v="71.17"/>
    <m/>
    <m/>
    <x v="0"/>
  </r>
  <r>
    <x v="12"/>
    <x v="2"/>
    <x v="1"/>
    <x v="1"/>
    <n v="441"/>
    <n v="2"/>
    <n v="22"/>
    <x v="4"/>
    <n v="72.14"/>
    <m/>
    <m/>
    <x v="0"/>
  </r>
  <r>
    <x v="12"/>
    <x v="2"/>
    <x v="2"/>
    <x v="2"/>
    <n v="463"/>
    <n v="9"/>
    <n v="25"/>
    <x v="3"/>
    <n v="80.22"/>
    <m/>
    <m/>
    <x v="0"/>
  </r>
  <r>
    <x v="13"/>
    <x v="0"/>
    <x v="0"/>
    <x v="0"/>
    <n v="314"/>
    <n v="8"/>
    <n v="6"/>
    <x v="9"/>
    <n v="73.540000000000006"/>
    <m/>
    <m/>
    <x v="0"/>
  </r>
  <r>
    <x v="13"/>
    <x v="0"/>
    <x v="1"/>
    <x v="1"/>
    <n v="313"/>
    <n v="12"/>
    <n v="10"/>
    <x v="7"/>
    <n v="96.32"/>
    <m/>
    <m/>
    <x v="0"/>
  </r>
  <r>
    <x v="13"/>
    <x v="0"/>
    <x v="2"/>
    <x v="1"/>
    <n v="416"/>
    <n v="3"/>
    <n v="9"/>
    <x v="6"/>
    <n v="82.7"/>
    <m/>
    <m/>
    <x v="0"/>
  </r>
  <r>
    <x v="13"/>
    <x v="1"/>
    <x v="0"/>
    <x v="2"/>
    <n v="391"/>
    <n v="2"/>
    <n v="48"/>
    <x v="0"/>
    <n v="91.95"/>
    <m/>
    <m/>
    <x v="0"/>
  </r>
  <r>
    <x v="13"/>
    <x v="1"/>
    <x v="1"/>
    <x v="2"/>
    <n v="235"/>
    <n v="17"/>
    <n v="48"/>
    <x v="2"/>
    <n v="93.29"/>
    <m/>
    <m/>
    <x v="0"/>
  </r>
  <r>
    <x v="13"/>
    <x v="1"/>
    <x v="2"/>
    <x v="1"/>
    <n v="351"/>
    <n v="4"/>
    <n v="11"/>
    <x v="1"/>
    <n v="82.87"/>
    <m/>
    <m/>
    <x v="0"/>
  </r>
  <r>
    <x v="13"/>
    <x v="2"/>
    <x v="0"/>
    <x v="1"/>
    <n v="212"/>
    <n v="2"/>
    <n v="40"/>
    <x v="5"/>
    <n v="81.33"/>
    <m/>
    <m/>
    <x v="0"/>
  </r>
  <r>
    <x v="13"/>
    <x v="2"/>
    <x v="1"/>
    <x v="1"/>
    <n v="261"/>
    <n v="19"/>
    <n v="47"/>
    <x v="4"/>
    <n v="81.69"/>
    <m/>
    <m/>
    <x v="0"/>
  </r>
  <r>
    <x v="13"/>
    <x v="2"/>
    <x v="2"/>
    <x v="1"/>
    <n v="386"/>
    <n v="18"/>
    <n v="48"/>
    <x v="5"/>
    <n v="71.599999999999994"/>
    <m/>
    <m/>
    <x v="0"/>
  </r>
  <r>
    <x v="14"/>
    <x v="0"/>
    <x v="0"/>
    <x v="0"/>
    <n v="432"/>
    <n v="18"/>
    <n v="11"/>
    <x v="0"/>
    <n v="80.650000000000006"/>
    <m/>
    <m/>
    <x v="0"/>
  </r>
  <r>
    <x v="14"/>
    <x v="0"/>
    <x v="1"/>
    <x v="1"/>
    <n v="483"/>
    <n v="13"/>
    <n v="30"/>
    <x v="0"/>
    <n v="98.52"/>
    <m/>
    <m/>
    <x v="0"/>
  </r>
  <r>
    <x v="14"/>
    <x v="0"/>
    <x v="2"/>
    <x v="2"/>
    <n v="343"/>
    <n v="4"/>
    <n v="34"/>
    <x v="2"/>
    <n v="88.07"/>
    <m/>
    <m/>
    <x v="0"/>
  </r>
  <r>
    <x v="14"/>
    <x v="1"/>
    <x v="0"/>
    <x v="2"/>
    <n v="252"/>
    <n v="15"/>
    <n v="56"/>
    <x v="5"/>
    <n v="73.400000000000006"/>
    <m/>
    <m/>
    <x v="0"/>
  </r>
  <r>
    <x v="14"/>
    <x v="1"/>
    <x v="1"/>
    <x v="2"/>
    <n v="380"/>
    <n v="9"/>
    <n v="57"/>
    <x v="3"/>
    <n v="71.73"/>
    <m/>
    <m/>
    <x v="0"/>
  </r>
  <r>
    <x v="14"/>
    <x v="1"/>
    <x v="2"/>
    <x v="0"/>
    <n v="422"/>
    <n v="4"/>
    <n v="34"/>
    <x v="9"/>
    <n v="96.63"/>
    <m/>
    <m/>
    <x v="0"/>
  </r>
  <r>
    <x v="14"/>
    <x v="2"/>
    <x v="0"/>
    <x v="0"/>
    <n v="434"/>
    <n v="10"/>
    <n v="17"/>
    <x v="0"/>
    <n v="99.06"/>
    <m/>
    <m/>
    <x v="0"/>
  </r>
  <r>
    <x v="14"/>
    <x v="2"/>
    <x v="1"/>
    <x v="1"/>
    <n v="208"/>
    <n v="9"/>
    <n v="57"/>
    <x v="7"/>
    <n v="88.55"/>
    <m/>
    <m/>
    <x v="0"/>
  </r>
  <r>
    <x v="14"/>
    <x v="2"/>
    <x v="2"/>
    <x v="1"/>
    <n v="452"/>
    <n v="5"/>
    <n v="6"/>
    <x v="7"/>
    <n v="82.78"/>
    <m/>
    <m/>
    <x v="0"/>
  </r>
  <r>
    <x v="15"/>
    <x v="0"/>
    <x v="0"/>
    <x v="1"/>
    <n v="367"/>
    <n v="9"/>
    <n v="8"/>
    <x v="7"/>
    <n v="94.66"/>
    <m/>
    <m/>
    <x v="0"/>
  </r>
  <r>
    <x v="15"/>
    <x v="0"/>
    <x v="1"/>
    <x v="1"/>
    <n v="321"/>
    <n v="1"/>
    <n v="4"/>
    <x v="3"/>
    <n v="85.4"/>
    <m/>
    <m/>
    <x v="0"/>
  </r>
  <r>
    <x v="15"/>
    <x v="0"/>
    <x v="2"/>
    <x v="1"/>
    <n v="335"/>
    <n v="15"/>
    <n v="44"/>
    <x v="3"/>
    <n v="81.12"/>
    <m/>
    <m/>
    <x v="0"/>
  </r>
  <r>
    <x v="15"/>
    <x v="1"/>
    <x v="0"/>
    <x v="0"/>
    <n v="344"/>
    <n v="6"/>
    <n v="24"/>
    <x v="3"/>
    <n v="87.76"/>
    <m/>
    <m/>
    <x v="0"/>
  </r>
  <r>
    <x v="15"/>
    <x v="1"/>
    <x v="1"/>
    <x v="1"/>
    <n v="491"/>
    <n v="5"/>
    <n v="59"/>
    <x v="8"/>
    <n v="72.510000000000005"/>
    <m/>
    <m/>
    <x v="0"/>
  </r>
  <r>
    <x v="15"/>
    <x v="1"/>
    <x v="2"/>
    <x v="1"/>
    <n v="381"/>
    <n v="6"/>
    <n v="26"/>
    <x v="7"/>
    <n v="77.459999999999994"/>
    <m/>
    <m/>
    <x v="0"/>
  </r>
  <r>
    <x v="15"/>
    <x v="2"/>
    <x v="0"/>
    <x v="1"/>
    <n v="218"/>
    <n v="6"/>
    <n v="2"/>
    <x v="4"/>
    <n v="77.61"/>
    <m/>
    <m/>
    <x v="0"/>
  </r>
  <r>
    <x v="15"/>
    <x v="2"/>
    <x v="1"/>
    <x v="2"/>
    <n v="441"/>
    <n v="19"/>
    <n v="27"/>
    <x v="7"/>
    <n v="93.02"/>
    <m/>
    <m/>
    <x v="0"/>
  </r>
  <r>
    <x v="15"/>
    <x v="2"/>
    <x v="2"/>
    <x v="2"/>
    <n v="200"/>
    <n v="2"/>
    <n v="12"/>
    <x v="4"/>
    <n v="77.13"/>
    <m/>
    <m/>
    <x v="0"/>
  </r>
  <r>
    <x v="16"/>
    <x v="0"/>
    <x v="0"/>
    <x v="2"/>
    <n v="390"/>
    <n v="16"/>
    <n v="24"/>
    <x v="7"/>
    <n v="96.06"/>
    <m/>
    <m/>
    <x v="0"/>
  </r>
  <r>
    <x v="16"/>
    <x v="0"/>
    <x v="1"/>
    <x v="0"/>
    <n v="316"/>
    <n v="5"/>
    <n v="57"/>
    <x v="4"/>
    <n v="70.36"/>
    <m/>
    <m/>
    <x v="0"/>
  </r>
  <r>
    <x v="16"/>
    <x v="0"/>
    <x v="2"/>
    <x v="1"/>
    <n v="359"/>
    <n v="12"/>
    <n v="46"/>
    <x v="1"/>
    <n v="96.73"/>
    <m/>
    <m/>
    <x v="0"/>
  </r>
  <r>
    <x v="16"/>
    <x v="1"/>
    <x v="0"/>
    <x v="0"/>
    <n v="412"/>
    <n v="10"/>
    <n v="59"/>
    <x v="0"/>
    <n v="72.209999999999994"/>
    <m/>
    <m/>
    <x v="0"/>
  </r>
  <r>
    <x v="16"/>
    <x v="1"/>
    <x v="1"/>
    <x v="1"/>
    <n v="426"/>
    <n v="18"/>
    <n v="19"/>
    <x v="6"/>
    <n v="72.260000000000005"/>
    <m/>
    <m/>
    <x v="0"/>
  </r>
  <r>
    <x v="16"/>
    <x v="1"/>
    <x v="2"/>
    <x v="2"/>
    <n v="246"/>
    <n v="8"/>
    <n v="48"/>
    <x v="2"/>
    <n v="90.87"/>
    <m/>
    <m/>
    <x v="0"/>
  </r>
  <r>
    <x v="16"/>
    <x v="2"/>
    <x v="0"/>
    <x v="2"/>
    <n v="200"/>
    <n v="2"/>
    <n v="15"/>
    <x v="3"/>
    <n v="92.11"/>
    <m/>
    <m/>
    <x v="0"/>
  </r>
  <r>
    <x v="16"/>
    <x v="2"/>
    <x v="1"/>
    <x v="0"/>
    <n v="211"/>
    <n v="9"/>
    <n v="31"/>
    <x v="3"/>
    <n v="71.739999999999995"/>
    <m/>
    <m/>
    <x v="0"/>
  </r>
  <r>
    <x v="16"/>
    <x v="2"/>
    <x v="2"/>
    <x v="0"/>
    <n v="355"/>
    <n v="7"/>
    <n v="57"/>
    <x v="2"/>
    <n v="75.64"/>
    <m/>
    <m/>
    <x v="0"/>
  </r>
  <r>
    <x v="17"/>
    <x v="0"/>
    <x v="0"/>
    <x v="0"/>
    <n v="289"/>
    <n v="7"/>
    <n v="57"/>
    <x v="5"/>
    <n v="76.88"/>
    <m/>
    <m/>
    <x v="0"/>
  </r>
  <r>
    <x v="17"/>
    <x v="0"/>
    <x v="1"/>
    <x v="1"/>
    <n v="227"/>
    <n v="4"/>
    <n v="40"/>
    <x v="2"/>
    <n v="77.8"/>
    <m/>
    <m/>
    <x v="0"/>
  </r>
  <r>
    <x v="17"/>
    <x v="0"/>
    <x v="2"/>
    <x v="1"/>
    <n v="344"/>
    <n v="8"/>
    <n v="32"/>
    <x v="9"/>
    <n v="82.34"/>
    <m/>
    <m/>
    <x v="0"/>
  </r>
  <r>
    <x v="17"/>
    <x v="1"/>
    <x v="0"/>
    <x v="0"/>
    <n v="419"/>
    <n v="15"/>
    <n v="28"/>
    <x v="6"/>
    <n v="74"/>
    <m/>
    <m/>
    <x v="0"/>
  </r>
  <r>
    <x v="17"/>
    <x v="1"/>
    <x v="1"/>
    <x v="0"/>
    <n v="234"/>
    <n v="5"/>
    <n v="17"/>
    <x v="4"/>
    <n v="82.5"/>
    <m/>
    <m/>
    <x v="0"/>
  </r>
  <r>
    <x v="17"/>
    <x v="1"/>
    <x v="2"/>
    <x v="2"/>
    <n v="396"/>
    <n v="14"/>
    <n v="24"/>
    <x v="7"/>
    <n v="82.55"/>
    <m/>
    <m/>
    <x v="0"/>
  </r>
  <r>
    <x v="17"/>
    <x v="2"/>
    <x v="0"/>
    <x v="1"/>
    <n v="485"/>
    <n v="17"/>
    <n v="58"/>
    <x v="6"/>
    <n v="71.36"/>
    <m/>
    <m/>
    <x v="0"/>
  </r>
  <r>
    <x v="17"/>
    <x v="2"/>
    <x v="1"/>
    <x v="0"/>
    <n v="318"/>
    <n v="0"/>
    <n v="53"/>
    <x v="7"/>
    <n v="94.32"/>
    <m/>
    <m/>
    <x v="0"/>
  </r>
  <r>
    <x v="17"/>
    <x v="2"/>
    <x v="2"/>
    <x v="2"/>
    <n v="423"/>
    <n v="14"/>
    <n v="48"/>
    <x v="6"/>
    <n v="81.3"/>
    <m/>
    <m/>
    <x v="0"/>
  </r>
  <r>
    <x v="18"/>
    <x v="0"/>
    <x v="0"/>
    <x v="1"/>
    <n v="481"/>
    <n v="16"/>
    <n v="12"/>
    <x v="0"/>
    <n v="71.91"/>
    <m/>
    <m/>
    <x v="0"/>
  </r>
  <r>
    <x v="18"/>
    <x v="0"/>
    <x v="1"/>
    <x v="2"/>
    <n v="304"/>
    <n v="2"/>
    <n v="0"/>
    <x v="8"/>
    <n v="70.41"/>
    <m/>
    <m/>
    <x v="0"/>
  </r>
  <r>
    <x v="18"/>
    <x v="0"/>
    <x v="2"/>
    <x v="2"/>
    <n v="205"/>
    <n v="16"/>
    <n v="4"/>
    <x v="5"/>
    <n v="99.99"/>
    <m/>
    <m/>
    <x v="0"/>
  </r>
  <r>
    <x v="18"/>
    <x v="1"/>
    <x v="0"/>
    <x v="1"/>
    <n v="458"/>
    <n v="4"/>
    <n v="52"/>
    <x v="6"/>
    <n v="98.34"/>
    <m/>
    <m/>
    <x v="0"/>
  </r>
  <r>
    <x v="18"/>
    <x v="1"/>
    <x v="1"/>
    <x v="2"/>
    <n v="282"/>
    <n v="16"/>
    <n v="20"/>
    <x v="7"/>
    <n v="83.52"/>
    <m/>
    <m/>
    <x v="0"/>
  </r>
  <r>
    <x v="18"/>
    <x v="1"/>
    <x v="2"/>
    <x v="2"/>
    <n v="200"/>
    <n v="18"/>
    <n v="44"/>
    <x v="9"/>
    <n v="88.19"/>
    <m/>
    <m/>
    <x v="0"/>
  </r>
  <r>
    <x v="18"/>
    <x v="2"/>
    <x v="0"/>
    <x v="2"/>
    <n v="487"/>
    <n v="1"/>
    <n v="27"/>
    <x v="5"/>
    <n v="78.06"/>
    <m/>
    <m/>
    <x v="0"/>
  </r>
  <r>
    <x v="18"/>
    <x v="2"/>
    <x v="1"/>
    <x v="1"/>
    <n v="238"/>
    <n v="1"/>
    <n v="53"/>
    <x v="5"/>
    <n v="93.17"/>
    <m/>
    <m/>
    <x v="0"/>
  </r>
  <r>
    <x v="18"/>
    <x v="2"/>
    <x v="2"/>
    <x v="2"/>
    <n v="467"/>
    <n v="0"/>
    <n v="53"/>
    <x v="1"/>
    <n v="99.04"/>
    <m/>
    <m/>
    <x v="0"/>
  </r>
  <r>
    <x v="19"/>
    <x v="0"/>
    <x v="0"/>
    <x v="0"/>
    <n v="421"/>
    <n v="16"/>
    <n v="47"/>
    <x v="6"/>
    <n v="84.4"/>
    <m/>
    <m/>
    <x v="0"/>
  </r>
  <r>
    <x v="19"/>
    <x v="0"/>
    <x v="1"/>
    <x v="0"/>
    <n v="406"/>
    <n v="4"/>
    <n v="20"/>
    <x v="4"/>
    <n v="89.18"/>
    <m/>
    <m/>
    <x v="0"/>
  </r>
  <r>
    <x v="19"/>
    <x v="0"/>
    <x v="2"/>
    <x v="1"/>
    <n v="274"/>
    <n v="18"/>
    <n v="38"/>
    <x v="4"/>
    <n v="74.09"/>
    <m/>
    <m/>
    <x v="0"/>
  </r>
  <r>
    <x v="19"/>
    <x v="1"/>
    <x v="0"/>
    <x v="0"/>
    <n v="451"/>
    <n v="1"/>
    <n v="37"/>
    <x v="4"/>
    <n v="88.24"/>
    <m/>
    <m/>
    <x v="0"/>
  </r>
  <r>
    <x v="19"/>
    <x v="1"/>
    <x v="1"/>
    <x v="0"/>
    <n v="485"/>
    <n v="14"/>
    <n v="26"/>
    <x v="2"/>
    <n v="72.73"/>
    <m/>
    <m/>
    <x v="0"/>
  </r>
  <r>
    <x v="19"/>
    <x v="1"/>
    <x v="2"/>
    <x v="0"/>
    <n v="448"/>
    <n v="5"/>
    <n v="32"/>
    <x v="2"/>
    <n v="93.51"/>
    <m/>
    <m/>
    <x v="0"/>
  </r>
  <r>
    <x v="19"/>
    <x v="2"/>
    <x v="0"/>
    <x v="2"/>
    <n v="229"/>
    <n v="9"/>
    <n v="50"/>
    <x v="5"/>
    <n v="90.93"/>
    <m/>
    <m/>
    <x v="0"/>
  </r>
  <r>
    <x v="19"/>
    <x v="2"/>
    <x v="1"/>
    <x v="1"/>
    <n v="484"/>
    <n v="3"/>
    <n v="9"/>
    <x v="3"/>
    <n v="97.8"/>
    <m/>
    <m/>
    <x v="0"/>
  </r>
  <r>
    <x v="19"/>
    <x v="2"/>
    <x v="2"/>
    <x v="0"/>
    <n v="472"/>
    <n v="19"/>
    <n v="23"/>
    <x v="5"/>
    <n v="71.38"/>
    <m/>
    <m/>
    <x v="0"/>
  </r>
  <r>
    <x v="20"/>
    <x v="0"/>
    <x v="0"/>
    <x v="1"/>
    <n v="461"/>
    <n v="1"/>
    <n v="12"/>
    <x v="0"/>
    <n v="76.27"/>
    <m/>
    <m/>
    <x v="0"/>
  </r>
  <r>
    <x v="20"/>
    <x v="0"/>
    <x v="1"/>
    <x v="0"/>
    <n v="242"/>
    <n v="15"/>
    <n v="10"/>
    <x v="1"/>
    <n v="72.28"/>
    <m/>
    <m/>
    <x v="0"/>
  </r>
  <r>
    <x v="20"/>
    <x v="0"/>
    <x v="2"/>
    <x v="0"/>
    <n v="448"/>
    <n v="15"/>
    <n v="30"/>
    <x v="1"/>
    <n v="82.01"/>
    <m/>
    <m/>
    <x v="0"/>
  </r>
  <r>
    <x v="20"/>
    <x v="1"/>
    <x v="0"/>
    <x v="2"/>
    <n v="207"/>
    <n v="3"/>
    <n v="39"/>
    <x v="1"/>
    <n v="90.9"/>
    <m/>
    <m/>
    <x v="0"/>
  </r>
  <r>
    <x v="20"/>
    <x v="1"/>
    <x v="1"/>
    <x v="1"/>
    <n v="480"/>
    <n v="2"/>
    <n v="31"/>
    <x v="3"/>
    <n v="84.22"/>
    <m/>
    <m/>
    <x v="0"/>
  </r>
  <r>
    <x v="20"/>
    <x v="1"/>
    <x v="2"/>
    <x v="0"/>
    <n v="292"/>
    <n v="17"/>
    <n v="57"/>
    <x v="6"/>
    <n v="76.72"/>
    <m/>
    <m/>
    <x v="0"/>
  </r>
  <r>
    <x v="20"/>
    <x v="2"/>
    <x v="0"/>
    <x v="0"/>
    <n v="476"/>
    <n v="4"/>
    <n v="17"/>
    <x v="4"/>
    <n v="78.36"/>
    <m/>
    <m/>
    <x v="0"/>
  </r>
  <r>
    <x v="20"/>
    <x v="2"/>
    <x v="1"/>
    <x v="1"/>
    <n v="221"/>
    <n v="5"/>
    <n v="0"/>
    <x v="7"/>
    <n v="86.03"/>
    <m/>
    <m/>
    <x v="0"/>
  </r>
  <r>
    <x v="20"/>
    <x v="2"/>
    <x v="2"/>
    <x v="2"/>
    <n v="211"/>
    <n v="13"/>
    <n v="33"/>
    <x v="4"/>
    <n v="73.86"/>
    <m/>
    <m/>
    <x v="0"/>
  </r>
  <r>
    <x v="21"/>
    <x v="0"/>
    <x v="0"/>
    <x v="1"/>
    <n v="417"/>
    <n v="12"/>
    <n v="26"/>
    <x v="9"/>
    <n v="71.180000000000007"/>
    <m/>
    <m/>
    <x v="0"/>
  </r>
  <r>
    <x v="21"/>
    <x v="0"/>
    <x v="1"/>
    <x v="0"/>
    <n v="448"/>
    <n v="14"/>
    <n v="56"/>
    <x v="2"/>
    <n v="90.63"/>
    <m/>
    <m/>
    <x v="0"/>
  </r>
  <r>
    <x v="21"/>
    <x v="0"/>
    <x v="2"/>
    <x v="0"/>
    <n v="255"/>
    <n v="10"/>
    <n v="47"/>
    <x v="1"/>
    <n v="71.83"/>
    <m/>
    <m/>
    <x v="0"/>
  </r>
  <r>
    <x v="21"/>
    <x v="1"/>
    <x v="0"/>
    <x v="1"/>
    <n v="225"/>
    <n v="3"/>
    <n v="0"/>
    <x v="7"/>
    <n v="72.540000000000006"/>
    <m/>
    <m/>
    <x v="0"/>
  </r>
  <r>
    <x v="21"/>
    <x v="1"/>
    <x v="1"/>
    <x v="0"/>
    <n v="452"/>
    <n v="19"/>
    <n v="14"/>
    <x v="5"/>
    <n v="86.1"/>
    <m/>
    <m/>
    <x v="0"/>
  </r>
  <r>
    <x v="21"/>
    <x v="1"/>
    <x v="2"/>
    <x v="1"/>
    <n v="255"/>
    <n v="13"/>
    <n v="25"/>
    <x v="2"/>
    <n v="92.8"/>
    <m/>
    <m/>
    <x v="0"/>
  </r>
  <r>
    <x v="21"/>
    <x v="2"/>
    <x v="0"/>
    <x v="1"/>
    <n v="277"/>
    <n v="1"/>
    <n v="44"/>
    <x v="8"/>
    <n v="71.87"/>
    <m/>
    <m/>
    <x v="0"/>
  </r>
  <r>
    <x v="21"/>
    <x v="2"/>
    <x v="1"/>
    <x v="0"/>
    <n v="386"/>
    <n v="18"/>
    <n v="6"/>
    <x v="4"/>
    <n v="90.61"/>
    <m/>
    <m/>
    <x v="0"/>
  </r>
  <r>
    <x v="21"/>
    <x v="2"/>
    <x v="2"/>
    <x v="0"/>
    <n v="437"/>
    <n v="10"/>
    <n v="46"/>
    <x v="6"/>
    <n v="70.91"/>
    <m/>
    <m/>
    <x v="0"/>
  </r>
  <r>
    <x v="22"/>
    <x v="0"/>
    <x v="0"/>
    <x v="1"/>
    <n v="473"/>
    <n v="5"/>
    <n v="34"/>
    <x v="8"/>
    <n v="81.91"/>
    <m/>
    <m/>
    <x v="0"/>
  </r>
  <r>
    <x v="22"/>
    <x v="0"/>
    <x v="1"/>
    <x v="0"/>
    <n v="391"/>
    <n v="4"/>
    <n v="27"/>
    <x v="4"/>
    <n v="70.599999999999994"/>
    <m/>
    <m/>
    <x v="0"/>
  </r>
  <r>
    <x v="22"/>
    <x v="0"/>
    <x v="2"/>
    <x v="0"/>
    <n v="472"/>
    <n v="6"/>
    <n v="21"/>
    <x v="6"/>
    <n v="79.819999999999993"/>
    <m/>
    <m/>
    <x v="0"/>
  </r>
  <r>
    <x v="22"/>
    <x v="1"/>
    <x v="0"/>
    <x v="2"/>
    <n v="499"/>
    <n v="16"/>
    <n v="12"/>
    <x v="3"/>
    <n v="87.81"/>
    <m/>
    <m/>
    <x v="0"/>
  </r>
  <r>
    <x v="22"/>
    <x v="1"/>
    <x v="1"/>
    <x v="0"/>
    <n v="267"/>
    <n v="9"/>
    <n v="2"/>
    <x v="0"/>
    <n v="89.46"/>
    <m/>
    <m/>
    <x v="0"/>
  </r>
  <r>
    <x v="22"/>
    <x v="1"/>
    <x v="2"/>
    <x v="1"/>
    <n v="345"/>
    <n v="14"/>
    <n v="35"/>
    <x v="2"/>
    <n v="86.11"/>
    <m/>
    <m/>
    <x v="0"/>
  </r>
  <r>
    <x v="22"/>
    <x v="2"/>
    <x v="0"/>
    <x v="0"/>
    <n v="233"/>
    <n v="14"/>
    <n v="7"/>
    <x v="2"/>
    <n v="87.6"/>
    <m/>
    <m/>
    <x v="0"/>
  </r>
  <r>
    <x v="22"/>
    <x v="2"/>
    <x v="1"/>
    <x v="0"/>
    <n v="435"/>
    <n v="18"/>
    <n v="41"/>
    <x v="5"/>
    <n v="78.510000000000005"/>
    <m/>
    <m/>
    <x v="0"/>
  </r>
  <r>
    <x v="22"/>
    <x v="2"/>
    <x v="2"/>
    <x v="2"/>
    <n v="205"/>
    <n v="19"/>
    <n v="25"/>
    <x v="1"/>
    <n v="88.23"/>
    <m/>
    <m/>
    <x v="0"/>
  </r>
  <r>
    <x v="23"/>
    <x v="0"/>
    <x v="0"/>
    <x v="1"/>
    <n v="428"/>
    <n v="0"/>
    <n v="52"/>
    <x v="6"/>
    <n v="73.05"/>
    <m/>
    <m/>
    <x v="0"/>
  </r>
  <r>
    <x v="23"/>
    <x v="0"/>
    <x v="1"/>
    <x v="0"/>
    <n v="397"/>
    <n v="5"/>
    <n v="54"/>
    <x v="2"/>
    <n v="84.63"/>
    <m/>
    <m/>
    <x v="0"/>
  </r>
  <r>
    <x v="23"/>
    <x v="0"/>
    <x v="2"/>
    <x v="0"/>
    <n v="294"/>
    <n v="8"/>
    <n v="54"/>
    <x v="8"/>
    <n v="71.55"/>
    <m/>
    <m/>
    <x v="0"/>
  </r>
  <r>
    <x v="23"/>
    <x v="1"/>
    <x v="0"/>
    <x v="0"/>
    <n v="230"/>
    <n v="7"/>
    <n v="36"/>
    <x v="8"/>
    <n v="99.47"/>
    <m/>
    <m/>
    <x v="0"/>
  </r>
  <r>
    <x v="23"/>
    <x v="1"/>
    <x v="1"/>
    <x v="1"/>
    <n v="422"/>
    <n v="5"/>
    <n v="1"/>
    <x v="2"/>
    <n v="87.28"/>
    <m/>
    <m/>
    <x v="0"/>
  </r>
  <r>
    <x v="23"/>
    <x v="1"/>
    <x v="2"/>
    <x v="0"/>
    <n v="274"/>
    <n v="3"/>
    <n v="14"/>
    <x v="4"/>
    <n v="94.51"/>
    <m/>
    <m/>
    <x v="0"/>
  </r>
  <r>
    <x v="23"/>
    <x v="2"/>
    <x v="0"/>
    <x v="0"/>
    <n v="293"/>
    <n v="5"/>
    <n v="50"/>
    <x v="3"/>
    <n v="94.63"/>
    <m/>
    <m/>
    <x v="0"/>
  </r>
  <r>
    <x v="23"/>
    <x v="2"/>
    <x v="1"/>
    <x v="1"/>
    <n v="393"/>
    <n v="14"/>
    <n v="10"/>
    <x v="2"/>
    <n v="87.15"/>
    <m/>
    <m/>
    <x v="0"/>
  </r>
  <r>
    <x v="23"/>
    <x v="2"/>
    <x v="2"/>
    <x v="2"/>
    <n v="372"/>
    <n v="11"/>
    <n v="4"/>
    <x v="6"/>
    <n v="75.61"/>
    <m/>
    <m/>
    <x v="0"/>
  </r>
  <r>
    <x v="24"/>
    <x v="0"/>
    <x v="0"/>
    <x v="1"/>
    <n v="317"/>
    <n v="3"/>
    <n v="18"/>
    <x v="4"/>
    <n v="75.989999999999995"/>
    <m/>
    <m/>
    <x v="0"/>
  </r>
  <r>
    <x v="24"/>
    <x v="0"/>
    <x v="1"/>
    <x v="2"/>
    <n v="219"/>
    <n v="16"/>
    <n v="11"/>
    <x v="9"/>
    <n v="73.45"/>
    <m/>
    <m/>
    <x v="0"/>
  </r>
  <r>
    <x v="24"/>
    <x v="0"/>
    <x v="2"/>
    <x v="2"/>
    <n v="289"/>
    <n v="13"/>
    <n v="37"/>
    <x v="3"/>
    <n v="87.44"/>
    <m/>
    <m/>
    <x v="0"/>
  </r>
  <r>
    <x v="24"/>
    <x v="1"/>
    <x v="0"/>
    <x v="1"/>
    <n v="338"/>
    <n v="3"/>
    <n v="12"/>
    <x v="5"/>
    <n v="85.98"/>
    <m/>
    <m/>
    <x v="0"/>
  </r>
  <r>
    <x v="24"/>
    <x v="1"/>
    <x v="1"/>
    <x v="1"/>
    <n v="360"/>
    <n v="5"/>
    <n v="49"/>
    <x v="9"/>
    <n v="83.63"/>
    <m/>
    <m/>
    <x v="0"/>
  </r>
  <r>
    <x v="24"/>
    <x v="1"/>
    <x v="2"/>
    <x v="2"/>
    <n v="460"/>
    <n v="9"/>
    <n v="43"/>
    <x v="4"/>
    <n v="76.05"/>
    <m/>
    <m/>
    <x v="0"/>
  </r>
  <r>
    <x v="24"/>
    <x v="2"/>
    <x v="0"/>
    <x v="0"/>
    <n v="367"/>
    <n v="1"/>
    <n v="19"/>
    <x v="6"/>
    <n v="77.64"/>
    <m/>
    <m/>
    <x v="0"/>
  </r>
  <r>
    <x v="24"/>
    <x v="2"/>
    <x v="1"/>
    <x v="1"/>
    <n v="300"/>
    <n v="8"/>
    <n v="16"/>
    <x v="0"/>
    <n v="73.5"/>
    <m/>
    <m/>
    <x v="0"/>
  </r>
  <r>
    <x v="24"/>
    <x v="2"/>
    <x v="2"/>
    <x v="1"/>
    <n v="237"/>
    <n v="2"/>
    <n v="29"/>
    <x v="0"/>
    <n v="73.2"/>
    <m/>
    <m/>
    <x v="0"/>
  </r>
  <r>
    <x v="25"/>
    <x v="0"/>
    <x v="0"/>
    <x v="1"/>
    <n v="268"/>
    <n v="11"/>
    <n v="49"/>
    <x v="2"/>
    <n v="73.73"/>
    <m/>
    <m/>
    <x v="0"/>
  </r>
  <r>
    <x v="25"/>
    <x v="0"/>
    <x v="1"/>
    <x v="2"/>
    <n v="336"/>
    <n v="1"/>
    <n v="11"/>
    <x v="2"/>
    <n v="81.38"/>
    <m/>
    <m/>
    <x v="0"/>
  </r>
  <r>
    <x v="25"/>
    <x v="0"/>
    <x v="2"/>
    <x v="2"/>
    <n v="200"/>
    <n v="7"/>
    <n v="21"/>
    <x v="4"/>
    <n v="71.44"/>
    <m/>
    <m/>
    <x v="0"/>
  </r>
  <r>
    <x v="25"/>
    <x v="1"/>
    <x v="0"/>
    <x v="2"/>
    <n v="466"/>
    <n v="8"/>
    <n v="36"/>
    <x v="4"/>
    <n v="76.05"/>
    <m/>
    <m/>
    <x v="0"/>
  </r>
  <r>
    <x v="25"/>
    <x v="1"/>
    <x v="1"/>
    <x v="1"/>
    <n v="485"/>
    <n v="2"/>
    <n v="20"/>
    <x v="2"/>
    <n v="75.59"/>
    <m/>
    <m/>
    <x v="0"/>
  </r>
  <r>
    <x v="25"/>
    <x v="1"/>
    <x v="2"/>
    <x v="2"/>
    <n v="277"/>
    <n v="3"/>
    <n v="24"/>
    <x v="2"/>
    <n v="96.32"/>
    <m/>
    <m/>
    <x v="0"/>
  </r>
  <r>
    <x v="25"/>
    <x v="2"/>
    <x v="0"/>
    <x v="0"/>
    <n v="288"/>
    <n v="17"/>
    <n v="39"/>
    <x v="5"/>
    <n v="83.56"/>
    <m/>
    <m/>
    <x v="0"/>
  </r>
  <r>
    <x v="25"/>
    <x v="2"/>
    <x v="1"/>
    <x v="0"/>
    <n v="303"/>
    <n v="13"/>
    <n v="31"/>
    <x v="2"/>
    <n v="83.88"/>
    <m/>
    <m/>
    <x v="0"/>
  </r>
  <r>
    <x v="25"/>
    <x v="2"/>
    <x v="2"/>
    <x v="2"/>
    <n v="222"/>
    <n v="14"/>
    <n v="32"/>
    <x v="8"/>
    <n v="76.97"/>
    <m/>
    <m/>
    <x v="0"/>
  </r>
  <r>
    <x v="26"/>
    <x v="0"/>
    <x v="0"/>
    <x v="0"/>
    <n v="424"/>
    <n v="14"/>
    <n v="54"/>
    <x v="9"/>
    <n v="85.96"/>
    <m/>
    <m/>
    <x v="0"/>
  </r>
  <r>
    <x v="26"/>
    <x v="0"/>
    <x v="1"/>
    <x v="0"/>
    <n v="303"/>
    <n v="7"/>
    <n v="50"/>
    <x v="1"/>
    <n v="86.29"/>
    <m/>
    <m/>
    <x v="0"/>
  </r>
  <r>
    <x v="26"/>
    <x v="0"/>
    <x v="2"/>
    <x v="0"/>
    <n v="397"/>
    <n v="5"/>
    <n v="2"/>
    <x v="7"/>
    <n v="88.83"/>
    <m/>
    <m/>
    <x v="0"/>
  </r>
  <r>
    <x v="26"/>
    <x v="1"/>
    <x v="0"/>
    <x v="0"/>
    <n v="241"/>
    <n v="19"/>
    <n v="14"/>
    <x v="8"/>
    <n v="96.36"/>
    <m/>
    <m/>
    <x v="0"/>
  </r>
  <r>
    <x v="26"/>
    <x v="1"/>
    <x v="1"/>
    <x v="2"/>
    <n v="488"/>
    <n v="19"/>
    <n v="29"/>
    <x v="2"/>
    <n v="96.82"/>
    <m/>
    <m/>
    <x v="0"/>
  </r>
  <r>
    <x v="26"/>
    <x v="1"/>
    <x v="2"/>
    <x v="1"/>
    <n v="356"/>
    <n v="5"/>
    <n v="56"/>
    <x v="6"/>
    <n v="79.349999999999994"/>
    <m/>
    <m/>
    <x v="0"/>
  </r>
  <r>
    <x v="26"/>
    <x v="2"/>
    <x v="0"/>
    <x v="2"/>
    <n v="488"/>
    <n v="3"/>
    <n v="21"/>
    <x v="4"/>
    <n v="91.42"/>
    <m/>
    <m/>
    <x v="0"/>
  </r>
  <r>
    <x v="26"/>
    <x v="2"/>
    <x v="1"/>
    <x v="0"/>
    <n v="204"/>
    <n v="9"/>
    <n v="32"/>
    <x v="5"/>
    <n v="73.09"/>
    <m/>
    <m/>
    <x v="0"/>
  </r>
  <r>
    <x v="26"/>
    <x v="2"/>
    <x v="2"/>
    <x v="0"/>
    <n v="358"/>
    <n v="14"/>
    <n v="35"/>
    <x v="9"/>
    <n v="83.71"/>
    <m/>
    <m/>
    <x v="0"/>
  </r>
  <r>
    <x v="27"/>
    <x v="0"/>
    <x v="0"/>
    <x v="2"/>
    <n v="383"/>
    <n v="14"/>
    <n v="28"/>
    <x v="5"/>
    <n v="86.2"/>
    <m/>
    <m/>
    <x v="0"/>
  </r>
  <r>
    <x v="27"/>
    <x v="0"/>
    <x v="1"/>
    <x v="0"/>
    <n v="356"/>
    <n v="14"/>
    <n v="3"/>
    <x v="8"/>
    <n v="91.67"/>
    <m/>
    <m/>
    <x v="0"/>
  </r>
  <r>
    <x v="27"/>
    <x v="0"/>
    <x v="2"/>
    <x v="0"/>
    <n v="329"/>
    <n v="18"/>
    <n v="50"/>
    <x v="1"/>
    <n v="86.97"/>
    <m/>
    <m/>
    <x v="0"/>
  </r>
  <r>
    <x v="27"/>
    <x v="1"/>
    <x v="0"/>
    <x v="1"/>
    <n v="481"/>
    <n v="10"/>
    <n v="26"/>
    <x v="1"/>
    <n v="80.37"/>
    <m/>
    <m/>
    <x v="0"/>
  </r>
  <r>
    <x v="27"/>
    <x v="1"/>
    <x v="1"/>
    <x v="2"/>
    <n v="210"/>
    <n v="9"/>
    <n v="39"/>
    <x v="3"/>
    <n v="87.5"/>
    <m/>
    <m/>
    <x v="0"/>
  </r>
  <r>
    <x v="27"/>
    <x v="1"/>
    <x v="2"/>
    <x v="0"/>
    <n v="399"/>
    <n v="14"/>
    <n v="25"/>
    <x v="7"/>
    <n v="98.42"/>
    <m/>
    <m/>
    <x v="0"/>
  </r>
  <r>
    <x v="27"/>
    <x v="2"/>
    <x v="0"/>
    <x v="2"/>
    <n v="417"/>
    <n v="12"/>
    <n v="39"/>
    <x v="7"/>
    <n v="85.18"/>
    <m/>
    <m/>
    <x v="0"/>
  </r>
  <r>
    <x v="27"/>
    <x v="2"/>
    <x v="1"/>
    <x v="0"/>
    <n v="310"/>
    <n v="7"/>
    <n v="59"/>
    <x v="9"/>
    <n v="87.79"/>
    <m/>
    <m/>
    <x v="0"/>
  </r>
  <r>
    <x v="27"/>
    <x v="2"/>
    <x v="2"/>
    <x v="2"/>
    <n v="332"/>
    <n v="4"/>
    <n v="7"/>
    <x v="5"/>
    <n v="89.54"/>
    <m/>
    <m/>
    <x v="0"/>
  </r>
  <r>
    <x v="28"/>
    <x v="0"/>
    <x v="0"/>
    <x v="0"/>
    <n v="291"/>
    <n v="8"/>
    <n v="53"/>
    <x v="7"/>
    <n v="72.319999999999993"/>
    <m/>
    <m/>
    <x v="0"/>
  </r>
  <r>
    <x v="28"/>
    <x v="0"/>
    <x v="1"/>
    <x v="2"/>
    <n v="495"/>
    <n v="8"/>
    <n v="21"/>
    <x v="6"/>
    <n v="97.32"/>
    <m/>
    <m/>
    <x v="0"/>
  </r>
  <r>
    <x v="28"/>
    <x v="0"/>
    <x v="2"/>
    <x v="0"/>
    <n v="456"/>
    <n v="13"/>
    <n v="36"/>
    <x v="7"/>
    <n v="99.55"/>
    <m/>
    <m/>
    <x v="0"/>
  </r>
  <r>
    <x v="28"/>
    <x v="1"/>
    <x v="0"/>
    <x v="2"/>
    <n v="309"/>
    <n v="3"/>
    <n v="53"/>
    <x v="4"/>
    <n v="95.12"/>
    <m/>
    <m/>
    <x v="0"/>
  </r>
  <r>
    <x v="28"/>
    <x v="1"/>
    <x v="1"/>
    <x v="0"/>
    <n v="200"/>
    <n v="18"/>
    <n v="39"/>
    <x v="6"/>
    <n v="88.24"/>
    <m/>
    <m/>
    <x v="0"/>
  </r>
  <r>
    <x v="28"/>
    <x v="1"/>
    <x v="2"/>
    <x v="2"/>
    <n v="336"/>
    <n v="9"/>
    <n v="51"/>
    <x v="8"/>
    <n v="93.63"/>
    <m/>
    <m/>
    <x v="0"/>
  </r>
  <r>
    <x v="28"/>
    <x v="2"/>
    <x v="0"/>
    <x v="2"/>
    <n v="353"/>
    <n v="8"/>
    <n v="34"/>
    <x v="5"/>
    <n v="81.95"/>
    <m/>
    <m/>
    <x v="0"/>
  </r>
  <r>
    <x v="28"/>
    <x v="2"/>
    <x v="1"/>
    <x v="0"/>
    <n v="224"/>
    <n v="10"/>
    <n v="37"/>
    <x v="4"/>
    <n v="80.39"/>
    <m/>
    <m/>
    <x v="0"/>
  </r>
  <r>
    <x v="28"/>
    <x v="2"/>
    <x v="2"/>
    <x v="2"/>
    <n v="409"/>
    <n v="1"/>
    <n v="26"/>
    <x v="6"/>
    <n v="83.57"/>
    <m/>
    <m/>
    <x v="0"/>
  </r>
  <r>
    <x v="29"/>
    <x v="0"/>
    <x v="0"/>
    <x v="2"/>
    <n v="450"/>
    <n v="18"/>
    <n v="53"/>
    <x v="5"/>
    <n v="75.290000000000006"/>
    <m/>
    <m/>
    <x v="0"/>
  </r>
  <r>
    <x v="29"/>
    <x v="0"/>
    <x v="1"/>
    <x v="0"/>
    <n v="379"/>
    <n v="5"/>
    <n v="52"/>
    <x v="6"/>
    <n v="97.45"/>
    <m/>
    <m/>
    <x v="0"/>
  </r>
  <r>
    <x v="29"/>
    <x v="0"/>
    <x v="2"/>
    <x v="2"/>
    <n v="376"/>
    <n v="10"/>
    <n v="21"/>
    <x v="8"/>
    <n v="76.599999999999994"/>
    <m/>
    <m/>
    <x v="0"/>
  </r>
  <r>
    <x v="29"/>
    <x v="1"/>
    <x v="0"/>
    <x v="1"/>
    <n v="248"/>
    <n v="6"/>
    <n v="16"/>
    <x v="1"/>
    <n v="98.83"/>
    <m/>
    <m/>
    <x v="0"/>
  </r>
  <r>
    <x v="29"/>
    <x v="1"/>
    <x v="1"/>
    <x v="1"/>
    <n v="376"/>
    <n v="19"/>
    <n v="53"/>
    <x v="7"/>
    <n v="95.82"/>
    <m/>
    <m/>
    <x v="0"/>
  </r>
  <r>
    <x v="29"/>
    <x v="1"/>
    <x v="2"/>
    <x v="2"/>
    <n v="262"/>
    <n v="7"/>
    <n v="48"/>
    <x v="7"/>
    <n v="78.989999999999995"/>
    <m/>
    <m/>
    <x v="0"/>
  </r>
  <r>
    <x v="29"/>
    <x v="2"/>
    <x v="0"/>
    <x v="1"/>
    <n v="423"/>
    <n v="12"/>
    <n v="29"/>
    <x v="2"/>
    <n v="92.5"/>
    <m/>
    <m/>
    <x v="0"/>
  </r>
  <r>
    <x v="29"/>
    <x v="2"/>
    <x v="1"/>
    <x v="2"/>
    <n v="410"/>
    <n v="16"/>
    <n v="44"/>
    <x v="9"/>
    <n v="81.33"/>
    <m/>
    <m/>
    <x v="0"/>
  </r>
  <r>
    <x v="29"/>
    <x v="2"/>
    <x v="2"/>
    <x v="0"/>
    <n v="343"/>
    <n v="7"/>
    <n v="18"/>
    <x v="8"/>
    <n v="71.97"/>
    <m/>
    <m/>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E855AAE-79DB-B846-97B1-6CE7FF72F85F}" name="PivotTable4"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rowHeaderCaption="Date">
  <location ref="A34:B65" firstHeaderRow="1" firstDataRow="1" firstDataCol="1"/>
  <pivotFields count="13">
    <pivotField axis="axisRow" showAll="0">
      <items count="31">
        <item x="0"/>
        <item x="1"/>
        <item x="2"/>
        <item x="3"/>
        <item x="4"/>
        <item x="5"/>
        <item x="6"/>
        <item x="7"/>
        <item x="8"/>
        <item x="9"/>
        <item x="10"/>
        <item x="11"/>
        <item x="12"/>
        <item x="13"/>
        <item x="14"/>
        <item x="15"/>
        <item x="16"/>
        <item x="17"/>
        <item x="18"/>
        <item x="19"/>
        <item x="20"/>
        <item x="21"/>
        <item x="22"/>
        <item x="23"/>
        <item x="24"/>
        <item x="25"/>
        <item x="26"/>
        <item x="27"/>
        <item x="28"/>
        <item x="29"/>
        <item t="default"/>
      </items>
    </pivotField>
    <pivotField showAll="0"/>
    <pivotField showAll="0"/>
    <pivotField showAll="0"/>
    <pivotField numFmtId="1" showAll="0"/>
    <pivotField numFmtId="1" showAll="0"/>
    <pivotField dataField="1" numFmtId="1" showAll="0"/>
    <pivotField showAll="0"/>
    <pivotField showAll="0"/>
    <pivotField showAll="0"/>
    <pivotField showAll="0"/>
    <pivotField showAll="0"/>
    <pivotField dragToRow="0" dragToCol="0" dragToPage="0" showAll="0" defaultSubtotal="0"/>
  </pivotFields>
  <rowFields count="1">
    <field x="0"/>
  </rowFields>
  <rowItems count="3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t="grand">
      <x/>
    </i>
  </rowItems>
  <colItems count="1">
    <i/>
  </colItems>
  <dataFields count="1">
    <dataField name="Sum of Downtime_Min" fld="6" baseField="0" baseItem="0" numFmtId="1"/>
  </dataFields>
  <formats count="6">
    <format dxfId="68">
      <pivotArea type="all" dataOnly="0" outline="0" fieldPosition="0"/>
    </format>
    <format dxfId="67">
      <pivotArea outline="0" collapsedLevelsAreSubtotals="1" fieldPosition="0"/>
    </format>
    <format dxfId="66">
      <pivotArea field="0" type="button" dataOnly="0" labelOnly="1" outline="0" axis="axisRow" fieldPosition="0"/>
    </format>
    <format dxfId="65">
      <pivotArea dataOnly="0" labelOnly="1" fieldPosition="0">
        <references count="1">
          <reference field="0" count="0"/>
        </references>
      </pivotArea>
    </format>
    <format dxfId="64">
      <pivotArea dataOnly="0" labelOnly="1" grandRow="1" outline="0" fieldPosition="0"/>
    </format>
    <format dxfId="63">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7BCA0B0-246C-0B4A-A909-9CBC6FA4CF49}" name="PivotTable2"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rowHeaderCaption="Operator_ID">
  <location ref="A3:B14" firstHeaderRow="1" firstDataRow="1" firstDataCol="1"/>
  <pivotFields count="13">
    <pivotField showAll="0"/>
    <pivotField showAll="0"/>
    <pivotField showAll="0"/>
    <pivotField showAll="0"/>
    <pivotField numFmtId="1" showAll="0"/>
    <pivotField dataField="1" numFmtId="1" showAll="0"/>
    <pivotField numFmtId="1" showAll="0"/>
    <pivotField axis="axisRow" showAll="0">
      <items count="11">
        <item x="2"/>
        <item x="1"/>
        <item x="4"/>
        <item x="0"/>
        <item x="7"/>
        <item x="8"/>
        <item x="6"/>
        <item x="3"/>
        <item x="9"/>
        <item x="5"/>
        <item t="default"/>
      </items>
    </pivotField>
    <pivotField showAll="0"/>
    <pivotField showAll="0"/>
    <pivotField showAll="0"/>
    <pivotField showAll="0"/>
    <pivotField dragToRow="0" dragToCol="0" dragToPage="0" showAll="0" defaultSubtotal="0"/>
  </pivotFields>
  <rowFields count="1">
    <field x="7"/>
  </rowFields>
  <rowItems count="11">
    <i>
      <x/>
    </i>
    <i>
      <x v="1"/>
    </i>
    <i>
      <x v="2"/>
    </i>
    <i>
      <x v="3"/>
    </i>
    <i>
      <x v="4"/>
    </i>
    <i>
      <x v="5"/>
    </i>
    <i>
      <x v="6"/>
    </i>
    <i>
      <x v="7"/>
    </i>
    <i>
      <x v="8"/>
    </i>
    <i>
      <x v="9"/>
    </i>
    <i t="grand">
      <x/>
    </i>
  </rowItems>
  <colItems count="1">
    <i/>
  </colItems>
  <dataFields count="1">
    <dataField name="Sum of Defects" fld="5" baseField="0" baseItem="0" numFmtId="1"/>
  </dataFields>
  <formats count="12">
    <format dxfId="80">
      <pivotArea type="all" dataOnly="0" outline="0" fieldPosition="0"/>
    </format>
    <format dxfId="79">
      <pivotArea outline="0" collapsedLevelsAreSubtotals="1" fieldPosition="0"/>
    </format>
    <format dxfId="78">
      <pivotArea field="7" type="button" dataOnly="0" labelOnly="1" outline="0" axis="axisRow" fieldPosition="0"/>
    </format>
    <format dxfId="77">
      <pivotArea dataOnly="0" labelOnly="1" fieldPosition="0">
        <references count="1">
          <reference field="7" count="0"/>
        </references>
      </pivotArea>
    </format>
    <format dxfId="76">
      <pivotArea dataOnly="0" labelOnly="1" grandRow="1" outline="0" fieldPosition="0"/>
    </format>
    <format dxfId="75">
      <pivotArea dataOnly="0" labelOnly="1" outline="0" axis="axisValues" fieldPosition="0"/>
    </format>
    <format dxfId="74">
      <pivotArea type="all" dataOnly="0" outline="0" fieldPosition="0"/>
    </format>
    <format dxfId="73">
      <pivotArea outline="0" collapsedLevelsAreSubtotals="1" fieldPosition="0"/>
    </format>
    <format dxfId="72">
      <pivotArea field="7" type="button" dataOnly="0" labelOnly="1" outline="0" axis="axisRow" fieldPosition="0"/>
    </format>
    <format dxfId="71">
      <pivotArea dataOnly="0" labelOnly="1" fieldPosition="0">
        <references count="1">
          <reference field="7" count="0"/>
        </references>
      </pivotArea>
    </format>
    <format dxfId="70">
      <pivotArea dataOnly="0" labelOnly="1" grandRow="1" outline="0" fieldPosition="0"/>
    </format>
    <format dxfId="69">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91A414D-CB33-554F-9389-AE92659D0FF7}"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9" rowHeaderCaption="Shift">
  <location ref="A4:B8" firstHeaderRow="1" firstDataRow="1" firstDataCol="1"/>
  <pivotFields count="13">
    <pivotField showAll="0"/>
    <pivotField axis="axisRow" showAll="0">
      <items count="4">
        <item x="1"/>
        <item x="0"/>
        <item x="2"/>
        <item t="default"/>
      </items>
    </pivotField>
    <pivotField showAll="0"/>
    <pivotField showAll="0"/>
    <pivotField dataField="1" numFmtId="1" showAll="0"/>
    <pivotField numFmtId="1" showAll="0"/>
    <pivotField numFmtId="1" showAll="0"/>
    <pivotField showAll="0"/>
    <pivotField showAll="0"/>
    <pivotField showAll="0"/>
    <pivotField showAll="0"/>
    <pivotField showAll="0"/>
    <pivotField dragToRow="0" dragToCol="0" dragToPage="0" showAll="0" defaultSubtotal="0"/>
  </pivotFields>
  <rowFields count="1">
    <field x="1"/>
  </rowFields>
  <rowItems count="4">
    <i>
      <x/>
    </i>
    <i>
      <x v="1"/>
    </i>
    <i>
      <x v="2"/>
    </i>
    <i t="grand">
      <x/>
    </i>
  </rowItems>
  <colItems count="1">
    <i/>
  </colItems>
  <dataFields count="1">
    <dataField name="Average of Units Produced" fld="4" subtotal="average" baseField="0" baseItem="0" numFmtId="1"/>
  </dataFields>
  <formats count="13">
    <format dxfId="62">
      <pivotArea type="all" dataOnly="0" outline="0" fieldPosition="0"/>
    </format>
    <format dxfId="61">
      <pivotArea outline="0" collapsedLevelsAreSubtotals="1" fieldPosition="0"/>
    </format>
    <format dxfId="60">
      <pivotArea field="1" type="button" dataOnly="0" labelOnly="1" outline="0" axis="axisRow" fieldPosition="0"/>
    </format>
    <format dxfId="59">
      <pivotArea dataOnly="0" labelOnly="1" fieldPosition="0">
        <references count="1">
          <reference field="1" count="0"/>
        </references>
      </pivotArea>
    </format>
    <format dxfId="58">
      <pivotArea dataOnly="0" labelOnly="1" grandRow="1" outline="0" fieldPosition="0"/>
    </format>
    <format dxfId="57">
      <pivotArea dataOnly="0" labelOnly="1" outline="0" axis="axisValues" fieldPosition="0"/>
    </format>
    <format dxfId="56">
      <pivotArea outline="0" collapsedLevelsAreSubtotals="1" fieldPosition="0"/>
    </format>
    <format dxfId="55">
      <pivotArea collapsedLevelsAreSubtotals="1" fieldPosition="0">
        <references count="1">
          <reference field="1" count="0"/>
        </references>
      </pivotArea>
    </format>
    <format dxfId="54">
      <pivotArea dataOnly="0" labelOnly="1" outline="0" axis="axisValues" fieldPosition="0"/>
    </format>
    <format dxfId="53">
      <pivotArea field="1" type="button" dataOnly="0" labelOnly="1" outline="0" axis="axisRow" fieldPosition="0"/>
    </format>
    <format dxfId="52">
      <pivotArea dataOnly="0" labelOnly="1" outline="0" axis="axisValues" fieldPosition="0"/>
    </format>
    <format dxfId="51">
      <pivotArea dataOnly="0" labelOnly="1" fieldPosition="0">
        <references count="1">
          <reference field="1" count="0"/>
        </references>
      </pivotArea>
    </format>
    <format dxfId="50">
      <pivotArea field="1" type="button" dataOnly="0" labelOnly="1" outline="0" axis="axisRow" fieldPosition="0"/>
    </format>
  </formats>
  <chartFormats count="2">
    <chartFormat chart="0" format="0" series="1">
      <pivotArea type="data" outline="0" fieldPosition="0">
        <references count="1">
          <reference field="4294967294" count="1" selected="0">
            <x v="0"/>
          </reference>
        </references>
      </pivotArea>
    </chartFormat>
    <chartFormat chart="6"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2A81C32C-0E0C-7D4D-94B8-68917DD3A243}" name="PivotTable5"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2" rowHeaderCaption="Operator_ID">
  <location ref="A11:B22" firstHeaderRow="1" firstDataRow="1" firstDataCol="1"/>
  <pivotFields count="13">
    <pivotField showAll="0"/>
    <pivotField showAll="0"/>
    <pivotField showAll="0"/>
    <pivotField showAll="0"/>
    <pivotField numFmtId="1" showAll="0"/>
    <pivotField dataField="1" numFmtId="1" showAll="0"/>
    <pivotField numFmtId="1" showAll="0"/>
    <pivotField axis="axisRow" showAll="0" sortType="descending">
      <items count="11">
        <item x="2"/>
        <item x="1"/>
        <item x="4"/>
        <item x="0"/>
        <item x="7"/>
        <item x="8"/>
        <item x="6"/>
        <item x="3"/>
        <item x="9"/>
        <item x="5"/>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dragToRow="0" dragToCol="0" dragToPage="0" showAll="0" defaultSubtotal="0"/>
  </pivotFields>
  <rowFields count="1">
    <field x="7"/>
  </rowFields>
  <rowItems count="11">
    <i>
      <x v="9"/>
    </i>
    <i>
      <x/>
    </i>
    <i>
      <x v="8"/>
    </i>
    <i>
      <x v="4"/>
    </i>
    <i>
      <x v="2"/>
    </i>
    <i>
      <x v="1"/>
    </i>
    <i>
      <x v="6"/>
    </i>
    <i>
      <x v="3"/>
    </i>
    <i>
      <x v="5"/>
    </i>
    <i>
      <x v="7"/>
    </i>
    <i t="grand">
      <x/>
    </i>
  </rowItems>
  <colItems count="1">
    <i/>
  </colItems>
  <dataFields count="1">
    <dataField name="Total Defects" fld="5" baseField="0" baseItem="0" numFmtId="1"/>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968280C2-4EEE-2A4D-98F4-9DC901A42FA8}" name="PivotTable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rowHeaderCaption="Product Type">
  <location ref="A3:C7" firstHeaderRow="0" firstDataRow="1" firstDataCol="1"/>
  <pivotFields count="13">
    <pivotField showAll="0"/>
    <pivotField showAll="0"/>
    <pivotField showAll="0"/>
    <pivotField axis="axisRow" showAll="0">
      <items count="4">
        <item x="1"/>
        <item x="2"/>
        <item x="0"/>
        <item t="default"/>
      </items>
    </pivotField>
    <pivotField dataField="1" numFmtId="1" showAll="0"/>
    <pivotField dataField="1" numFmtId="1" showAll="0"/>
    <pivotField numFmtId="1" showAll="0"/>
    <pivotField showAll="0"/>
    <pivotField showAll="0"/>
    <pivotField showAll="0"/>
    <pivotField showAll="0"/>
    <pivotField showAll="0"/>
    <pivotField dragToRow="0" dragToCol="0" dragToPage="0" showAll="0" defaultSubtotal="0"/>
  </pivotFields>
  <rowFields count="1">
    <field x="3"/>
  </rowFields>
  <rowItems count="4">
    <i>
      <x/>
    </i>
    <i>
      <x v="1"/>
    </i>
    <i>
      <x v="2"/>
    </i>
    <i t="grand">
      <x/>
    </i>
  </rowItems>
  <colFields count="1">
    <field x="-2"/>
  </colFields>
  <colItems count="2">
    <i>
      <x/>
    </i>
    <i i="1">
      <x v="1"/>
    </i>
  </colItems>
  <dataFields count="2">
    <dataField name="Total Defects" fld="5" baseField="0" baseItem="0" numFmtId="1"/>
    <dataField name="Total Units Produced" fld="4" baseField="0" baseItem="0" numFmtId="1"/>
  </dataFields>
  <formats count="11">
    <format dxfId="49">
      <pivotArea dataOnly="0" labelOnly="1" fieldPosition="0">
        <references count="1">
          <reference field="3" count="0"/>
        </references>
      </pivotArea>
    </format>
    <format dxfId="48">
      <pivotArea collapsedLevelsAreSubtotals="1" fieldPosition="0">
        <references count="1">
          <reference field="3" count="0"/>
        </references>
      </pivotArea>
    </format>
    <format dxfId="47">
      <pivotArea dataOnly="0" labelOnly="1" fieldPosition="0">
        <references count="1">
          <reference field="3" count="0"/>
        </references>
      </pivotArea>
    </format>
    <format dxfId="46">
      <pivotArea collapsedLevelsAreSubtotals="1" fieldPosition="0">
        <references count="1">
          <reference field="3" count="0"/>
        </references>
      </pivotArea>
    </format>
    <format dxfId="45">
      <pivotArea dataOnly="0" labelOnly="1" fieldPosition="0">
        <references count="1">
          <reference field="3" count="0"/>
        </references>
      </pivotArea>
    </format>
    <format dxfId="44">
      <pivotArea type="all" dataOnly="0" outline="0" fieldPosition="0"/>
    </format>
    <format dxfId="43">
      <pivotArea outline="0" collapsedLevelsAreSubtotals="1" fieldPosition="0"/>
    </format>
    <format dxfId="42">
      <pivotArea field="3" type="button" dataOnly="0" labelOnly="1" outline="0" axis="axisRow" fieldPosition="0"/>
    </format>
    <format dxfId="41">
      <pivotArea dataOnly="0" labelOnly="1" fieldPosition="0">
        <references count="1">
          <reference field="3" count="0"/>
        </references>
      </pivotArea>
    </format>
    <format dxfId="40">
      <pivotArea dataOnly="0" labelOnly="1" grandRow="1" outline="0" fieldPosition="0"/>
    </format>
    <format dxfId="39">
      <pivotArea dataOnly="0" labelOnly="1" outline="0" fieldPosition="0">
        <references count="1">
          <reference field="4294967294" count="2">
            <x v="0"/>
            <x v="1"/>
          </reference>
        </references>
      </pivotArea>
    </format>
  </formats>
  <chartFormats count="2">
    <chartFormat chart="0" format="2" series="1">
      <pivotArea type="data" outline="0" fieldPosition="0">
        <references count="1">
          <reference field="4294967294" count="1" selected="0">
            <x v="0"/>
          </reference>
        </references>
      </pivotArea>
    </chartFormat>
    <chartFormat chart="0" format="3"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CA9C5ECA-DC25-9547-A908-DAC792D32E4F}" name="PivotTable7"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3" rowHeaderCaption="Date">
  <location ref="A9:B40" firstHeaderRow="1" firstDataRow="1" firstDataCol="1"/>
  <pivotFields count="13">
    <pivotField axis="axisRow" showAll="0">
      <items count="31">
        <item x="0"/>
        <item x="1"/>
        <item x="2"/>
        <item x="3"/>
        <item x="4"/>
        <item x="5"/>
        <item x="6"/>
        <item x="7"/>
        <item x="8"/>
        <item x="9"/>
        <item x="10"/>
        <item x="11"/>
        <item x="12"/>
        <item x="13"/>
        <item x="14"/>
        <item x="15"/>
        <item x="16"/>
        <item x="17"/>
        <item x="18"/>
        <item x="19"/>
        <item x="20"/>
        <item x="21"/>
        <item x="22"/>
        <item x="23"/>
        <item x="24"/>
        <item x="25"/>
        <item x="26"/>
        <item x="27"/>
        <item x="28"/>
        <item x="29"/>
        <item t="default"/>
      </items>
    </pivotField>
    <pivotField showAll="0"/>
    <pivotField showAll="0"/>
    <pivotField showAll="0"/>
    <pivotField numFmtId="1" showAll="0"/>
    <pivotField numFmtId="1" showAll="0"/>
    <pivotField dataField="1" numFmtId="1" showAll="0"/>
    <pivotField showAll="0"/>
    <pivotField showAll="0"/>
    <pivotField showAll="0"/>
    <pivotField showAll="0"/>
    <pivotField showAll="0"/>
    <pivotField dragToRow="0" dragToCol="0" dragToPage="0" showAll="0" defaultSubtotal="0"/>
  </pivotFields>
  <rowFields count="1">
    <field x="0"/>
  </rowFields>
  <rowItems count="3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t="grand">
      <x/>
    </i>
  </rowItems>
  <colItems count="1">
    <i/>
  </colItems>
  <dataFields count="1">
    <dataField name="Total Downtime (min)" fld="6" baseField="0" baseItem="0" numFmtId="1"/>
  </dataFields>
  <chartFormats count="2">
    <chartFormat chart="0" format="0"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0076DD78-B260-3943-AA7D-54F7B9247D68}" name="PivotTable6"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rowHeaderCaption="Line_ID">
  <location ref="A3:B7" firstHeaderRow="1" firstDataRow="1" firstDataCol="1"/>
  <pivotFields count="13">
    <pivotField showAll="0"/>
    <pivotField showAll="0"/>
    <pivotField axis="axisRow" showAll="0">
      <items count="4">
        <item x="0"/>
        <item x="1"/>
        <item x="2"/>
        <item t="default"/>
      </items>
    </pivotField>
    <pivotField showAll="0"/>
    <pivotField numFmtId="1" showAll="0"/>
    <pivotField numFmtId="1" showAll="0"/>
    <pivotField dataField="1" numFmtId="1" showAll="0"/>
    <pivotField showAll="0"/>
    <pivotField showAll="0"/>
    <pivotField showAll="0"/>
    <pivotField showAll="0"/>
    <pivotField showAll="0"/>
    <pivotField dragToRow="0" dragToCol="0" dragToPage="0" showAll="0" defaultSubtotal="0"/>
  </pivotFields>
  <rowFields count="1">
    <field x="2"/>
  </rowFields>
  <rowItems count="4">
    <i>
      <x/>
    </i>
    <i>
      <x v="1"/>
    </i>
    <i>
      <x v="2"/>
    </i>
    <i t="grand">
      <x/>
    </i>
  </rowItems>
  <colItems count="1">
    <i/>
  </colItems>
  <dataFields count="1">
    <dataField name="Sum of Downtime_Min" fld="6" baseField="0" baseItem="0" numFmtId="1"/>
  </dataFields>
  <formats count="6">
    <format dxfId="100">
      <pivotArea type="all" dataOnly="0" outline="0" fieldPosition="0"/>
    </format>
    <format dxfId="99">
      <pivotArea outline="0" collapsedLevelsAreSubtotals="1" fieldPosition="0"/>
    </format>
    <format dxfId="98">
      <pivotArea field="2" type="button" dataOnly="0" labelOnly="1" outline="0" axis="axisRow" fieldPosition="0"/>
    </format>
    <format dxfId="97">
      <pivotArea dataOnly="0" labelOnly="1" fieldPosition="0">
        <references count="1">
          <reference field="2" count="0"/>
        </references>
      </pivotArea>
    </format>
    <format dxfId="96">
      <pivotArea dataOnly="0" labelOnly="1" grandRow="1" outline="0" fieldPosition="0"/>
    </format>
    <format dxfId="95">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DFDB8B0B-4E1A-8949-BA6B-5B3E669467A1}" name="PivotTable8"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0" rowHeaderCaption="Line_ID">
  <location ref="A3:B7" firstHeaderRow="1" firstDataRow="1" firstDataCol="1"/>
  <pivotFields count="13">
    <pivotField showAll="0"/>
    <pivotField showAll="0"/>
    <pivotField axis="axisRow" showAll="0">
      <items count="4">
        <item x="0"/>
        <item x="1"/>
        <item x="2"/>
        <item t="default"/>
      </items>
    </pivotField>
    <pivotField showAll="0"/>
    <pivotField numFmtId="1" showAll="0"/>
    <pivotField numFmtId="1" showAll="0"/>
    <pivotField numFmtId="1" showAll="0"/>
    <pivotField showAll="0"/>
    <pivotField dataField="1" showAll="0"/>
    <pivotField showAll="0"/>
    <pivotField showAll="0"/>
    <pivotField showAll="0"/>
    <pivotField dragToRow="0" dragToCol="0" dragToPage="0" showAll="0" defaultSubtotal="0"/>
  </pivotFields>
  <rowFields count="1">
    <field x="2"/>
  </rowFields>
  <rowItems count="4">
    <i>
      <x/>
    </i>
    <i>
      <x v="1"/>
    </i>
    <i>
      <x v="2"/>
    </i>
    <i t="grand">
      <x/>
    </i>
  </rowItems>
  <colItems count="1">
    <i/>
  </colItems>
  <dataFields count="1">
    <dataField name="Average of Machine_Efficiency (%)" fld="8" subtotal="average" baseField="0" baseItem="0"/>
  </dataFields>
  <formats count="13">
    <format dxfId="38">
      <pivotArea collapsedLevelsAreSubtotals="1" fieldPosition="0">
        <references count="1">
          <reference field="2" count="0"/>
        </references>
      </pivotArea>
    </format>
    <format dxfId="37">
      <pivotArea type="all" dataOnly="0" outline="0" fieldPosition="0"/>
    </format>
    <format dxfId="36">
      <pivotArea outline="0" collapsedLevelsAreSubtotals="1" fieldPosition="0"/>
    </format>
    <format dxfId="35">
      <pivotArea field="2" type="button" dataOnly="0" labelOnly="1" outline="0" axis="axisRow" fieldPosition="0"/>
    </format>
    <format dxfId="34">
      <pivotArea dataOnly="0" labelOnly="1" fieldPosition="0">
        <references count="1">
          <reference field="2" count="0"/>
        </references>
      </pivotArea>
    </format>
    <format dxfId="33">
      <pivotArea dataOnly="0" labelOnly="1" grandRow="1" outline="0" fieldPosition="0"/>
    </format>
    <format dxfId="32">
      <pivotArea dataOnly="0" labelOnly="1" outline="0" axis="axisValues" fieldPosition="0"/>
    </format>
    <format dxfId="31">
      <pivotArea type="all" dataOnly="0" outline="0" fieldPosition="0"/>
    </format>
    <format dxfId="30">
      <pivotArea outline="0" collapsedLevelsAreSubtotals="1" fieldPosition="0"/>
    </format>
    <format dxfId="29">
      <pivotArea field="2" type="button" dataOnly="0" labelOnly="1" outline="0" axis="axisRow" fieldPosition="0"/>
    </format>
    <format dxfId="28">
      <pivotArea dataOnly="0" labelOnly="1" fieldPosition="0">
        <references count="1">
          <reference field="2" count="0"/>
        </references>
      </pivotArea>
    </format>
    <format dxfId="27">
      <pivotArea dataOnly="0" labelOnly="1" grandRow="1" outline="0" fieldPosition="0"/>
    </format>
    <format dxfId="26">
      <pivotArea dataOnly="0" labelOnly="1" outline="0" axis="axisValues" fieldPosition="0"/>
    </format>
  </formats>
  <chartFormats count="2">
    <chartFormat chart="0" format="0"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B308ACAF-17E3-C241-9C41-658A1CC6DE60}"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rowHeaderCaption="Product_Type">
  <location ref="A4:C8" firstHeaderRow="0" firstDataRow="1" firstDataCol="1"/>
  <pivotFields count="13">
    <pivotField showAll="0"/>
    <pivotField showAll="0"/>
    <pivotField showAll="0">
      <items count="4">
        <item x="0"/>
        <item x="1"/>
        <item x="2"/>
        <item t="default"/>
      </items>
    </pivotField>
    <pivotField axis="axisRow" showAll="0">
      <items count="4">
        <item x="1"/>
        <item x="2"/>
        <item x="0"/>
        <item t="default"/>
      </items>
    </pivotField>
    <pivotField dataField="1" numFmtId="1" showAll="0"/>
    <pivotField dataField="1" numFmtId="1" showAll="0"/>
    <pivotField numFmtId="1" showAll="0"/>
    <pivotField showAll="0"/>
    <pivotField showAll="0"/>
    <pivotField showAll="0"/>
    <pivotField showAll="0"/>
    <pivotField showAll="0"/>
    <pivotField dragToRow="0" dragToCol="0" dragToPage="0" showAll="0" defaultSubtotal="0"/>
  </pivotFields>
  <rowFields count="1">
    <field x="3"/>
  </rowFields>
  <rowItems count="4">
    <i>
      <x/>
    </i>
    <i>
      <x v="1"/>
    </i>
    <i>
      <x v="2"/>
    </i>
    <i t="grand">
      <x/>
    </i>
  </rowItems>
  <colFields count="1">
    <field x="-2"/>
  </colFields>
  <colItems count="2">
    <i>
      <x/>
    </i>
    <i i="1">
      <x v="1"/>
    </i>
  </colItems>
  <dataFields count="2">
    <dataField name="Sum of Defects" fld="5" baseField="0" baseItem="0" numFmtId="1"/>
    <dataField name="Sum of Units_Produced" fld="4" baseField="0" baseItem="0" numFmtId="1"/>
  </dataFields>
  <formats count="6">
    <format dxfId="25">
      <pivotArea type="all" dataOnly="0" outline="0" fieldPosition="0"/>
    </format>
    <format dxfId="24">
      <pivotArea outline="0" collapsedLevelsAreSubtotals="1" fieldPosition="0"/>
    </format>
    <format dxfId="23">
      <pivotArea field="3" type="button" dataOnly="0" labelOnly="1" outline="0" axis="axisRow" fieldPosition="0"/>
    </format>
    <format dxfId="22">
      <pivotArea dataOnly="0" labelOnly="1" fieldPosition="0">
        <references count="1">
          <reference field="3" count="0"/>
        </references>
      </pivotArea>
    </format>
    <format dxfId="21">
      <pivotArea dataOnly="0" labelOnly="1" grandRow="1" outline="0" fieldPosition="0"/>
    </format>
    <format dxfId="20">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98F91949-DE6F-554B-9166-4035C1E8E43E}" name="PivotTable2"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rowHeaderCaption="Line_ID">
  <location ref="A1:B5" firstHeaderRow="1" firstDataRow="1" firstDataCol="1"/>
  <pivotFields count="13">
    <pivotField showAll="0"/>
    <pivotField showAll="0"/>
    <pivotField axis="axisRow" showAll="0">
      <items count="4">
        <item x="0"/>
        <item x="1"/>
        <item x="2"/>
        <item t="default"/>
      </items>
    </pivotField>
    <pivotField showAll="0"/>
    <pivotField numFmtId="1" showAll="0"/>
    <pivotField numFmtId="1" showAll="0"/>
    <pivotField numFmtId="1" showAll="0"/>
    <pivotField showAll="0"/>
    <pivotField dataField="1" showAll="0"/>
    <pivotField showAll="0"/>
    <pivotField showAll="0"/>
    <pivotField showAll="0">
      <items count="2">
        <item x="0"/>
        <item t="default"/>
      </items>
    </pivotField>
    <pivotField dragToRow="0" dragToCol="0" dragToPage="0" showAll="0" defaultSubtotal="0"/>
  </pivotFields>
  <rowFields count="1">
    <field x="2"/>
  </rowFields>
  <rowItems count="4">
    <i>
      <x/>
    </i>
    <i>
      <x v="1"/>
    </i>
    <i>
      <x v="2"/>
    </i>
    <i t="grand">
      <x/>
    </i>
  </rowItems>
  <colItems count="1">
    <i/>
  </colItems>
  <dataFields count="1">
    <dataField name="Average of Machine_Efficiency (%)" fld="8" subtotal="average" baseField="0" baseItem="0"/>
  </dataFields>
  <formats count="8">
    <format dxfId="19">
      <pivotArea collapsedLevelsAreSubtotals="1" fieldPosition="0">
        <references count="1">
          <reference field="2" count="0"/>
        </references>
      </pivotArea>
    </format>
    <format dxfId="18">
      <pivotArea grandRow="1" outline="0" collapsedLevelsAreSubtotals="1" fieldPosition="0"/>
    </format>
    <format dxfId="17">
      <pivotArea type="all" dataOnly="0" outline="0" fieldPosition="0"/>
    </format>
    <format dxfId="16">
      <pivotArea outline="0" collapsedLevelsAreSubtotals="1" fieldPosition="0"/>
    </format>
    <format dxfId="15">
      <pivotArea field="2" type="button" dataOnly="0" labelOnly="1" outline="0" axis="axisRow" fieldPosition="0"/>
    </format>
    <format dxfId="14">
      <pivotArea dataOnly="0" labelOnly="1" fieldPosition="0">
        <references count="1">
          <reference field="2" count="0"/>
        </references>
      </pivotArea>
    </format>
    <format dxfId="13">
      <pivotArea dataOnly="0" labelOnly="1" grandRow="1" outline="0" fieldPosition="0"/>
    </format>
    <format dxfId="12">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EF07756B-ABC0-394C-9C4F-D4FC09F34D37}" name="PivotTable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Shift">
  <location ref="A3:D7" firstHeaderRow="0" firstDataRow="1" firstDataCol="1"/>
  <pivotFields count="13">
    <pivotField showAll="0"/>
    <pivotField axis="axisRow" showAll="0">
      <items count="4">
        <item x="1"/>
        <item x="0"/>
        <item x="2"/>
        <item t="default"/>
      </items>
    </pivotField>
    <pivotField showAll="0"/>
    <pivotField showAll="0"/>
    <pivotField dataField="1" numFmtId="1" showAll="0"/>
    <pivotField numFmtId="1" showAll="0"/>
    <pivotField dataField="1" numFmtId="1" showAll="0"/>
    <pivotField showAll="0"/>
    <pivotField dataField="1" showAll="0"/>
    <pivotField showAll="0"/>
    <pivotField showAll="0"/>
    <pivotField showAll="0">
      <items count="2">
        <item x="0"/>
        <item t="default"/>
      </items>
    </pivotField>
    <pivotField dragToRow="0" dragToCol="0" dragToPage="0" showAll="0" defaultSubtotal="0"/>
  </pivotFields>
  <rowFields count="1">
    <field x="1"/>
  </rowFields>
  <rowItems count="4">
    <i>
      <x/>
    </i>
    <i>
      <x v="1"/>
    </i>
    <i>
      <x v="2"/>
    </i>
    <i t="grand">
      <x/>
    </i>
  </rowItems>
  <colFields count="1">
    <field x="-2"/>
  </colFields>
  <colItems count="3">
    <i>
      <x/>
    </i>
    <i i="1">
      <x v="1"/>
    </i>
    <i i="2">
      <x v="2"/>
    </i>
  </colItems>
  <dataFields count="3">
    <dataField name="Sum of Units_Produced" fld="4" baseField="0" baseItem="0" numFmtId="1"/>
    <dataField name="Sum of Downtime_Min" fld="6" baseField="0" baseItem="0" numFmtId="1"/>
    <dataField name="Average of Machine_Efficiency (%)" fld="8" subtotal="average" baseField="0" baseItem="0"/>
  </dataFields>
  <formats count="7">
    <format dxfId="11">
      <pivotArea collapsedLevelsAreSubtotals="1" fieldPosition="0">
        <references count="1">
          <reference field="1" count="0"/>
        </references>
      </pivotArea>
    </format>
    <format dxfId="10">
      <pivotArea type="all" dataOnly="0" outline="0" fieldPosition="0"/>
    </format>
    <format dxfId="9">
      <pivotArea outline="0" collapsedLevelsAreSubtotals="1" fieldPosition="0"/>
    </format>
    <format dxfId="8">
      <pivotArea field="1" type="button" dataOnly="0" labelOnly="1" outline="0" axis="axisRow" fieldPosition="0"/>
    </format>
    <format dxfId="7">
      <pivotArea dataOnly="0" labelOnly="1" fieldPosition="0">
        <references count="1">
          <reference field="1" count="0"/>
        </references>
      </pivotArea>
    </format>
    <format dxfId="6">
      <pivotArea dataOnly="0" labelOnly="1" grandRow="1" outline="0" fieldPosition="0"/>
    </format>
    <format dxfId="5">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E733070E-6D7B-F540-8A14-803A836C5DD6}" name="PivotTable4"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rowHeaderCaption="Operator_ID">
  <location ref="A1:E13" firstHeaderRow="1" firstDataRow="2" firstDataCol="1"/>
  <pivotFields count="13">
    <pivotField showAll="0"/>
    <pivotField showAll="0"/>
    <pivotField axis="axisCol" showAll="0">
      <items count="4">
        <item x="0"/>
        <item x="1"/>
        <item x="2"/>
        <item t="default"/>
      </items>
    </pivotField>
    <pivotField showAll="0"/>
    <pivotField numFmtId="1" showAll="0"/>
    <pivotField dataField="1" numFmtId="1" showAll="0"/>
    <pivotField numFmtId="1" showAll="0"/>
    <pivotField axis="axisRow" showAll="0">
      <items count="11">
        <item x="2"/>
        <item x="1"/>
        <item x="4"/>
        <item x="0"/>
        <item x="7"/>
        <item x="8"/>
        <item x="6"/>
        <item x="3"/>
        <item x="9"/>
        <item x="5"/>
        <item t="default"/>
      </items>
    </pivotField>
    <pivotField showAll="0"/>
    <pivotField showAll="0"/>
    <pivotField showAll="0"/>
    <pivotField showAll="0"/>
    <pivotField dragToRow="0" dragToCol="0" dragToPage="0" showAll="0" defaultSubtotal="0"/>
  </pivotFields>
  <rowFields count="1">
    <field x="7"/>
  </rowFields>
  <rowItems count="11">
    <i>
      <x/>
    </i>
    <i>
      <x v="1"/>
    </i>
    <i>
      <x v="2"/>
    </i>
    <i>
      <x v="3"/>
    </i>
    <i>
      <x v="4"/>
    </i>
    <i>
      <x v="5"/>
    </i>
    <i>
      <x v="6"/>
    </i>
    <i>
      <x v="7"/>
    </i>
    <i>
      <x v="8"/>
    </i>
    <i>
      <x v="9"/>
    </i>
    <i t="grand">
      <x/>
    </i>
  </rowItems>
  <colFields count="1">
    <field x="2"/>
  </colFields>
  <colItems count="4">
    <i>
      <x/>
    </i>
    <i>
      <x v="1"/>
    </i>
    <i>
      <x v="2"/>
    </i>
    <i t="grand">
      <x/>
    </i>
  </colItems>
  <dataFields count="1">
    <dataField name="Sum of Defects" fld="5" baseField="0" baseItem="0" numFmtId="1"/>
  </dataFields>
  <formats count="2">
    <format dxfId="4">
      <pivotArea collapsedLevelsAreSubtotals="1" fieldPosition="0">
        <references count="2">
          <reference field="2" count="0" selected="0"/>
          <reference field="7" count="0"/>
        </references>
      </pivotArea>
    </format>
    <format dxfId="3">
      <pivotArea collapsedLevelsAreSubtotals="1" fieldPosition="0">
        <references count="2">
          <reference field="2" count="0" selected="0"/>
          <reference field="7"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E6238B1-66A6-9840-9C97-A2988A0AE8C8}" name="tblProduction" displayName="tblProduction" ref="A1:L271" totalsRowShown="0" headerRowDxfId="94" dataDxfId="93">
  <autoFilter ref="A1:L271" xr:uid="{FE6238B1-66A6-9840-9C97-A2988A0AE8C8}"/>
  <tableColumns count="12">
    <tableColumn id="1" xr3:uid="{3BE546DE-569A-C34B-81B7-2A88D9F4417C}" name="Date" dataDxfId="92"/>
    <tableColumn id="2" xr3:uid="{52E40930-A92E-BF42-B4D6-C21540728366}" name="Shift" dataDxfId="91"/>
    <tableColumn id="3" xr3:uid="{7A2F9755-253E-E74C-BE3D-CBE517470537}" name="Line_ID" dataDxfId="90"/>
    <tableColumn id="4" xr3:uid="{17249EA8-3189-AE44-B245-9B905DE1F7EF}" name="Product_Type" dataDxfId="89"/>
    <tableColumn id="5" xr3:uid="{E04B2B03-32FB-A84E-8825-2F0CC71C6041}" name="Units_Produced" dataDxfId="88"/>
    <tableColumn id="6" xr3:uid="{C3F00094-6434-9B4F-9FD5-D8CA5546A31E}" name="Defects" dataDxfId="87"/>
    <tableColumn id="7" xr3:uid="{C337D89D-9143-CA40-B043-2B2959A47880}" name="Downtime_Min" dataDxfId="86"/>
    <tableColumn id="8" xr3:uid="{B089B3A6-EF78-5748-8934-05B75DCF056F}" name="Operator_ID" dataDxfId="85"/>
    <tableColumn id="9" xr3:uid="{CE29FC26-2F02-D84F-9354-5C64F7BFE1FC}" name="Machine_Efficiency (%)" dataDxfId="84"/>
    <tableColumn id="10" xr3:uid="{0031C723-8E3B-7041-8C69-64E26C4B9430}" name="Downtime_Efficiency" dataDxfId="83">
      <calculatedColumnFormula>IF(tblProduction[[#This Row],[Downtime_Min]]&gt;Helper_Calculations!$B$4, "High", IF(tblProduction[[#This Row],[Downtime_Min]]&lt;Helper_Calculations!$B$3,"low","Medium"))</calculatedColumnFormula>
    </tableColumn>
    <tableColumn id="11" xr3:uid="{7CFA9664-6318-CC42-B7CA-D7C898CA5B22}" name="Defect_Rate" dataDxfId="82">
      <calculatedColumnFormula>VLOOKUP(tblProduction[[#This Row],[Product_Type]],Defect_Table,4,FALSE)</calculatedColumnFormula>
    </tableColumn>
    <tableColumn id="12" xr3:uid="{1CCBA76E-3355-AC48-8E34-3CDA7AB892D0}" name="Avg_Line_efficiency" dataDxfId="81">
      <calculatedColumnFormula>VLOOKUP(tblProduction[[#This Row],[Line_ID]],Efficiency_Table,2,FALSE)</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 dT="2026-03-24T03:32:28.41" personId="{59C7E712-CF86-F140-8493-CF71755CD030}" id="{47ED67AF-4AE1-9840-93D6-2C82B40570A4}">
    <text>Assumption:
Each production record is treated as one scheduled operating period of 480 minutes.</text>
  </threadedComment>
  <threadedComment ref="K4" dT="2026-03-24T04:03:41.74" personId="{59C7E712-CF86-F140-8493-CF71755CD030}" id="{5105E05C-7FDD-5848-BB32-6B64EAD90699}">
    <text>OEE was estimated using available downtime, production, defect, and machine efficiency data. Since ideal cycle time was not available in the dataset, average machine efficiency was used as a performance proxy.</text>
  </threadedComment>
</ThreadedComments>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ivotTable" Target="../pivotTables/pivotTable5.xml"/><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ivotTable" Target="../pivotTables/pivotTable7.xml"/><Relationship Id="rId1" Type="http://schemas.openxmlformats.org/officeDocument/2006/relationships/pivotTable" Target="../pivotTables/pivotTable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ivotTable" Target="../pivotTables/pivotTable8.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9.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10.xml"/></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11.xml"/></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71"/>
  <sheetViews>
    <sheetView tabSelected="1" workbookViewId="0">
      <pane ySplit="1" topLeftCell="A78" activePane="bottomLeft" state="frozen"/>
      <selection pane="bottomLeft" activeCell="E94" sqref="E94"/>
    </sheetView>
  </sheetViews>
  <sheetFormatPr baseColWidth="10" defaultColWidth="8.83203125" defaultRowHeight="15" x14ac:dyDescent="0.2"/>
  <cols>
    <col min="1" max="1" width="10.1640625" style="7" bestFit="1" customWidth="1"/>
    <col min="2" max="2" width="9.6640625" style="6" bestFit="1" customWidth="1"/>
    <col min="3" max="3" width="12" style="6" bestFit="1" customWidth="1"/>
    <col min="4" max="4" width="16.83203125" style="17" bestFit="1" customWidth="1"/>
    <col min="5" max="5" width="18.5" style="8" bestFit="1" customWidth="1"/>
    <col min="6" max="6" width="12" style="8" bestFit="1" customWidth="1"/>
    <col min="7" max="7" width="18.33203125" style="8" bestFit="1" customWidth="1"/>
    <col min="8" max="8" width="15.6640625" style="6" bestFit="1" customWidth="1"/>
    <col min="9" max="9" width="24" style="6" bestFit="1" customWidth="1"/>
    <col min="10" max="10" width="22.6640625" style="6" bestFit="1" customWidth="1"/>
    <col min="11" max="11" width="15.6640625" style="42" bestFit="1" customWidth="1"/>
    <col min="12" max="12" width="21.6640625" style="44" bestFit="1" customWidth="1"/>
    <col min="13" max="16384" width="8.83203125" style="6"/>
  </cols>
  <sheetData>
    <row r="1" spans="1:12" x14ac:dyDescent="0.2">
      <c r="A1" s="2" t="s">
        <v>0</v>
      </c>
      <c r="B1" s="3" t="s">
        <v>1</v>
      </c>
      <c r="C1" s="3" t="s">
        <v>2</v>
      </c>
      <c r="D1" s="16" t="s">
        <v>3</v>
      </c>
      <c r="E1" s="4" t="s">
        <v>4</v>
      </c>
      <c r="F1" s="4" t="s">
        <v>5</v>
      </c>
      <c r="G1" s="4" t="s">
        <v>6</v>
      </c>
      <c r="H1" s="3" t="s">
        <v>7</v>
      </c>
      <c r="I1" s="3" t="s">
        <v>8</v>
      </c>
      <c r="J1" s="5" t="s">
        <v>58</v>
      </c>
      <c r="K1" s="41" t="s">
        <v>59</v>
      </c>
      <c r="L1" s="43" t="s">
        <v>60</v>
      </c>
    </row>
    <row r="2" spans="1:12" x14ac:dyDescent="0.2">
      <c r="A2" s="7" t="s">
        <v>9</v>
      </c>
      <c r="B2" s="6" t="s">
        <v>39</v>
      </c>
      <c r="C2" s="6" t="s">
        <v>42</v>
      </c>
      <c r="D2" s="17" t="s">
        <v>45</v>
      </c>
      <c r="E2" s="8">
        <v>302</v>
      </c>
      <c r="F2" s="8">
        <v>19</v>
      </c>
      <c r="G2" s="8">
        <v>28</v>
      </c>
      <c r="H2" s="6" t="s">
        <v>48</v>
      </c>
      <c r="I2" s="6">
        <v>75.5</v>
      </c>
      <c r="J2" s="6" t="str">
        <f>IF(tblProduction[[#This Row],[Downtime_Min]]&gt;Helper_Calculations!$B$4, "High", IF(tblProduction[[#This Row],[Downtime_Min]]&lt;Helper_Calculations!$B$3,"low","Medium"))</f>
        <v>Medium</v>
      </c>
      <c r="K2" s="42">
        <f>VLOOKUP(tblProduction[[#This Row],[Product_Type]],Defect_Table,4,FALSE)</f>
        <v>2.6075502200401161E-2</v>
      </c>
      <c r="L2" s="44">
        <f>VLOOKUP(tblProduction[[#This Row],[Line_ID]],Efficiency_Table,2,FALSE)</f>
        <v>84.103777777777793</v>
      </c>
    </row>
    <row r="3" spans="1:12" x14ac:dyDescent="0.2">
      <c r="A3" s="7" t="s">
        <v>9</v>
      </c>
      <c r="B3" s="6" t="s">
        <v>39</v>
      </c>
      <c r="C3" s="6" t="s">
        <v>43</v>
      </c>
      <c r="D3" s="17" t="s">
        <v>45</v>
      </c>
      <c r="E3" s="8">
        <v>271</v>
      </c>
      <c r="F3" s="8">
        <v>6</v>
      </c>
      <c r="G3" s="8">
        <v>57</v>
      </c>
      <c r="H3" s="6" t="s">
        <v>49</v>
      </c>
      <c r="I3" s="6">
        <v>74.680000000000007</v>
      </c>
      <c r="J3" s="6" t="str">
        <f>IF(tblProduction[[#This Row],[Downtime_Min]]&gt;Helper_Calculations!$B$4, "High", IF(tblProduction[[#This Row],[Downtime_Min]]&lt;Helper_Calculations!$B$3,"low","Medium"))</f>
        <v>High</v>
      </c>
      <c r="K3" s="42">
        <f>VLOOKUP(tblProduction[[#This Row],[Product_Type]],Defect_Table,4,FALSE)</f>
        <v>2.6075502200401161E-2</v>
      </c>
      <c r="L3" s="44">
        <f>VLOOKUP(tblProduction[[#This Row],[Line_ID]],Efficiency_Table,2,FALSE)</f>
        <v>84.346333333333348</v>
      </c>
    </row>
    <row r="4" spans="1:12" x14ac:dyDescent="0.2">
      <c r="A4" s="7" t="s">
        <v>9</v>
      </c>
      <c r="B4" s="6" t="s">
        <v>39</v>
      </c>
      <c r="C4" s="6" t="s">
        <v>44</v>
      </c>
      <c r="D4" s="17" t="s">
        <v>46</v>
      </c>
      <c r="E4" s="8">
        <v>287</v>
      </c>
      <c r="F4" s="8">
        <v>3</v>
      </c>
      <c r="G4" s="8">
        <v>39</v>
      </c>
      <c r="H4" s="6" t="s">
        <v>50</v>
      </c>
      <c r="I4" s="6">
        <v>91.24</v>
      </c>
      <c r="J4" s="6" t="str">
        <f>IF(tblProduction[[#This Row],[Downtime_Min]]&gt;Helper_Calculations!$B$4, "High", IF(tblProduction[[#This Row],[Downtime_Min]]&lt;Helper_Calculations!$B$3,"low","Medium"))</f>
        <v>Medium</v>
      </c>
      <c r="K4" s="42">
        <f>VLOOKUP(tblProduction[[#This Row],[Product_Type]],Defect_Table,4,FALSE)</f>
        <v>2.230142566191446E-2</v>
      </c>
      <c r="L4" s="44">
        <f>VLOOKUP(tblProduction[[#This Row],[Line_ID]],Efficiency_Table,2,FALSE)</f>
        <v>83.481999999999985</v>
      </c>
    </row>
    <row r="5" spans="1:12" x14ac:dyDescent="0.2">
      <c r="A5" s="7" t="s">
        <v>9</v>
      </c>
      <c r="B5" s="6" t="s">
        <v>40</v>
      </c>
      <c r="C5" s="6" t="s">
        <v>42</v>
      </c>
      <c r="D5" s="17" t="s">
        <v>46</v>
      </c>
      <c r="E5" s="8">
        <v>349</v>
      </c>
      <c r="F5" s="8">
        <v>1</v>
      </c>
      <c r="G5" s="8">
        <v>23</v>
      </c>
      <c r="H5" s="6" t="s">
        <v>50</v>
      </c>
      <c r="I5" s="6">
        <v>94.97</v>
      </c>
      <c r="J5" s="6" t="str">
        <f>IF(tblProduction[[#This Row],[Downtime_Min]]&gt;Helper_Calculations!$B$4, "High", IF(tblProduction[[#This Row],[Downtime_Min]]&lt;Helper_Calculations!$B$3,"low","Medium"))</f>
        <v>Medium</v>
      </c>
      <c r="K5" s="42">
        <f>VLOOKUP(tblProduction[[#This Row],[Product_Type]],Defect_Table,4,FALSE)</f>
        <v>2.230142566191446E-2</v>
      </c>
      <c r="L5" s="44">
        <f>VLOOKUP(tblProduction[[#This Row],[Line_ID]],Efficiency_Table,2,FALSE)</f>
        <v>84.103777777777793</v>
      </c>
    </row>
    <row r="6" spans="1:12" x14ac:dyDescent="0.2">
      <c r="A6" s="7" t="s">
        <v>9</v>
      </c>
      <c r="B6" s="6" t="s">
        <v>40</v>
      </c>
      <c r="C6" s="6" t="s">
        <v>43</v>
      </c>
      <c r="D6" s="17" t="s">
        <v>47</v>
      </c>
      <c r="E6" s="8">
        <v>493</v>
      </c>
      <c r="F6" s="8">
        <v>1</v>
      </c>
      <c r="G6" s="8">
        <v>59</v>
      </c>
      <c r="H6" s="6" t="s">
        <v>51</v>
      </c>
      <c r="I6" s="6">
        <v>75.5</v>
      </c>
      <c r="J6" s="6" t="str">
        <f>IF(tblProduction[[#This Row],[Downtime_Min]]&gt;Helper_Calculations!$B$4, "High", IF(tblProduction[[#This Row],[Downtime_Min]]&lt;Helper_Calculations!$B$3,"low","Medium"))</f>
        <v>High</v>
      </c>
      <c r="K6" s="42">
        <f>VLOOKUP(tblProduction[[#This Row],[Product_Type]],Defect_Table,4,FALSE)</f>
        <v>2.5486680327868851E-2</v>
      </c>
      <c r="L6" s="44">
        <f>VLOOKUP(tblProduction[[#This Row],[Line_ID]],Efficiency_Table,2,FALSE)</f>
        <v>84.346333333333348</v>
      </c>
    </row>
    <row r="7" spans="1:12" x14ac:dyDescent="0.2">
      <c r="A7" s="7" t="s">
        <v>9</v>
      </c>
      <c r="B7" s="6" t="s">
        <v>40</v>
      </c>
      <c r="C7" s="6" t="s">
        <v>44</v>
      </c>
      <c r="D7" s="17" t="s">
        <v>45</v>
      </c>
      <c r="E7" s="8">
        <v>221</v>
      </c>
      <c r="F7" s="8">
        <v>11</v>
      </c>
      <c r="G7" s="8">
        <v>24</v>
      </c>
      <c r="H7" s="6" t="s">
        <v>50</v>
      </c>
      <c r="I7" s="6">
        <v>78.739999999999995</v>
      </c>
      <c r="J7" s="6" t="str">
        <f>IF(tblProduction[[#This Row],[Downtime_Min]]&gt;Helper_Calculations!$B$4, "High", IF(tblProduction[[#This Row],[Downtime_Min]]&lt;Helper_Calculations!$B$3,"low","Medium"))</f>
        <v>Medium</v>
      </c>
      <c r="K7" s="42">
        <f>VLOOKUP(tblProduction[[#This Row],[Product_Type]],Defect_Table,4,FALSE)</f>
        <v>2.6075502200401161E-2</v>
      </c>
      <c r="L7" s="44">
        <f>VLOOKUP(tblProduction[[#This Row],[Line_ID]],Efficiency_Table,2,FALSE)</f>
        <v>83.481999999999985</v>
      </c>
    </row>
    <row r="8" spans="1:12" x14ac:dyDescent="0.2">
      <c r="A8" s="7" t="s">
        <v>9</v>
      </c>
      <c r="B8" s="6" t="s">
        <v>41</v>
      </c>
      <c r="C8" s="6" t="s">
        <v>42</v>
      </c>
      <c r="D8" s="17" t="s">
        <v>45</v>
      </c>
      <c r="E8" s="8">
        <v>258</v>
      </c>
      <c r="F8" s="8">
        <v>9</v>
      </c>
      <c r="G8" s="8">
        <v>27</v>
      </c>
      <c r="H8" s="6" t="s">
        <v>52</v>
      </c>
      <c r="I8" s="6">
        <v>99.21</v>
      </c>
      <c r="J8" s="6" t="str">
        <f>IF(tblProduction[[#This Row],[Downtime_Min]]&gt;Helper_Calculations!$B$4, "High", IF(tblProduction[[#This Row],[Downtime_Min]]&lt;Helper_Calculations!$B$3,"low","Medium"))</f>
        <v>Medium</v>
      </c>
      <c r="K8" s="42">
        <f>VLOOKUP(tblProduction[[#This Row],[Product_Type]],Defect_Table,4,FALSE)</f>
        <v>2.6075502200401161E-2</v>
      </c>
      <c r="L8" s="44">
        <f>VLOOKUP(tblProduction[[#This Row],[Line_ID]],Efficiency_Table,2,FALSE)</f>
        <v>84.103777777777793</v>
      </c>
    </row>
    <row r="9" spans="1:12" x14ac:dyDescent="0.2">
      <c r="A9" s="7" t="s">
        <v>9</v>
      </c>
      <c r="B9" s="6" t="s">
        <v>41</v>
      </c>
      <c r="C9" s="6" t="s">
        <v>43</v>
      </c>
      <c r="D9" s="17" t="s">
        <v>46</v>
      </c>
      <c r="E9" s="8">
        <v>470</v>
      </c>
      <c r="F9" s="8">
        <v>14</v>
      </c>
      <c r="G9" s="8">
        <v>50</v>
      </c>
      <c r="H9" s="6" t="s">
        <v>53</v>
      </c>
      <c r="I9" s="6">
        <v>81.47</v>
      </c>
      <c r="J9" s="6" t="str">
        <f>IF(tblProduction[[#This Row],[Downtime_Min]]&gt;Helper_Calculations!$B$4, "High", IF(tblProduction[[#This Row],[Downtime_Min]]&lt;Helper_Calculations!$B$3,"low","Medium"))</f>
        <v>High</v>
      </c>
      <c r="K9" s="42">
        <f>VLOOKUP(tblProduction[[#This Row],[Product_Type]],Defect_Table,4,FALSE)</f>
        <v>2.230142566191446E-2</v>
      </c>
      <c r="L9" s="44">
        <f>VLOOKUP(tblProduction[[#This Row],[Line_ID]],Efficiency_Table,2,FALSE)</f>
        <v>84.346333333333348</v>
      </c>
    </row>
    <row r="10" spans="1:12" x14ac:dyDescent="0.2">
      <c r="A10" s="7" t="s">
        <v>9</v>
      </c>
      <c r="B10" s="6" t="s">
        <v>41</v>
      </c>
      <c r="C10" s="6" t="s">
        <v>44</v>
      </c>
      <c r="D10" s="17" t="s">
        <v>47</v>
      </c>
      <c r="E10" s="8">
        <v>443</v>
      </c>
      <c r="F10" s="8">
        <v>2</v>
      </c>
      <c r="G10" s="8">
        <v>36</v>
      </c>
      <c r="H10" s="6" t="s">
        <v>49</v>
      </c>
      <c r="I10" s="6">
        <v>88.23</v>
      </c>
      <c r="J10" s="6" t="str">
        <f>IF(tblProduction[[#This Row],[Downtime_Min]]&gt;Helper_Calculations!$B$4, "High", IF(tblProduction[[#This Row],[Downtime_Min]]&lt;Helper_Calculations!$B$3,"low","Medium"))</f>
        <v>Medium</v>
      </c>
      <c r="K10" s="42">
        <f>VLOOKUP(tblProduction[[#This Row],[Product_Type]],Defect_Table,4,FALSE)</f>
        <v>2.5486680327868851E-2</v>
      </c>
      <c r="L10" s="44">
        <f>VLOOKUP(tblProduction[[#This Row],[Line_ID]],Efficiency_Table,2,FALSE)</f>
        <v>83.481999999999985</v>
      </c>
    </row>
    <row r="11" spans="1:12" x14ac:dyDescent="0.2">
      <c r="A11" s="7" t="s">
        <v>10</v>
      </c>
      <c r="B11" s="6" t="s">
        <v>39</v>
      </c>
      <c r="C11" s="6" t="s">
        <v>42</v>
      </c>
      <c r="D11" s="17" t="s">
        <v>45</v>
      </c>
      <c r="E11" s="8">
        <v>220</v>
      </c>
      <c r="F11" s="8">
        <v>8</v>
      </c>
      <c r="G11" s="8">
        <v>38</v>
      </c>
      <c r="H11" s="6" t="s">
        <v>54</v>
      </c>
      <c r="I11" s="6">
        <v>70.400000000000006</v>
      </c>
      <c r="J11" s="6" t="str">
        <f>IF(tblProduction[[#This Row],[Downtime_Min]]&gt;Helper_Calculations!$B$4, "High", IF(tblProduction[[#This Row],[Downtime_Min]]&lt;Helper_Calculations!$B$3,"low","Medium"))</f>
        <v>Medium</v>
      </c>
      <c r="K11" s="42">
        <f>VLOOKUP(tblProduction[[#This Row],[Product_Type]],Defect_Table,4,FALSE)</f>
        <v>2.6075502200401161E-2</v>
      </c>
      <c r="L11" s="44">
        <f>VLOOKUP(tblProduction[[#This Row],[Line_ID]],Efficiency_Table,2,FALSE)</f>
        <v>84.103777777777793</v>
      </c>
    </row>
    <row r="12" spans="1:12" x14ac:dyDescent="0.2">
      <c r="A12" s="7" t="s">
        <v>10</v>
      </c>
      <c r="B12" s="6" t="s">
        <v>39</v>
      </c>
      <c r="C12" s="6" t="s">
        <v>43</v>
      </c>
      <c r="D12" s="17" t="s">
        <v>47</v>
      </c>
      <c r="E12" s="8">
        <v>288</v>
      </c>
      <c r="F12" s="8">
        <v>13</v>
      </c>
      <c r="G12" s="8">
        <v>49</v>
      </c>
      <c r="H12" s="6" t="s">
        <v>50</v>
      </c>
      <c r="I12" s="6">
        <v>81.56</v>
      </c>
      <c r="J12" s="6" t="str">
        <f>IF(tblProduction[[#This Row],[Downtime_Min]]&gt;Helper_Calculations!$B$4, "High", IF(tblProduction[[#This Row],[Downtime_Min]]&lt;Helper_Calculations!$B$3,"low","Medium"))</f>
        <v>High</v>
      </c>
      <c r="K12" s="42">
        <f>VLOOKUP(tblProduction[[#This Row],[Product_Type]],Defect_Table,4,FALSE)</f>
        <v>2.5486680327868851E-2</v>
      </c>
      <c r="L12" s="44">
        <f>VLOOKUP(tblProduction[[#This Row],[Line_ID]],Efficiency_Table,2,FALSE)</f>
        <v>84.346333333333348</v>
      </c>
    </row>
    <row r="13" spans="1:12" x14ac:dyDescent="0.2">
      <c r="A13" s="7" t="s">
        <v>10</v>
      </c>
      <c r="B13" s="6" t="s">
        <v>39</v>
      </c>
      <c r="C13" s="6" t="s">
        <v>44</v>
      </c>
      <c r="D13" s="17" t="s">
        <v>47</v>
      </c>
      <c r="E13" s="8">
        <v>252</v>
      </c>
      <c r="F13" s="8">
        <v>1</v>
      </c>
      <c r="G13" s="8">
        <v>19</v>
      </c>
      <c r="H13" s="6" t="s">
        <v>48</v>
      </c>
      <c r="I13" s="6">
        <v>77.23</v>
      </c>
      <c r="J13" s="6" t="str">
        <f>IF(tblProduction[[#This Row],[Downtime_Min]]&gt;Helper_Calculations!$B$4, "High", IF(tblProduction[[#This Row],[Downtime_Min]]&lt;Helper_Calculations!$B$3,"low","Medium"))</f>
        <v>Medium</v>
      </c>
      <c r="K13" s="42">
        <f>VLOOKUP(tblProduction[[#This Row],[Product_Type]],Defect_Table,4,FALSE)</f>
        <v>2.5486680327868851E-2</v>
      </c>
      <c r="L13" s="44">
        <f>VLOOKUP(tblProduction[[#This Row],[Line_ID]],Efficiency_Table,2,FALSE)</f>
        <v>83.481999999999985</v>
      </c>
    </row>
    <row r="14" spans="1:12" x14ac:dyDescent="0.2">
      <c r="A14" s="7" t="s">
        <v>10</v>
      </c>
      <c r="B14" s="6" t="s">
        <v>40</v>
      </c>
      <c r="C14" s="6" t="s">
        <v>42</v>
      </c>
      <c r="D14" s="17" t="s">
        <v>46</v>
      </c>
      <c r="E14" s="8">
        <v>463</v>
      </c>
      <c r="F14" s="8">
        <v>14</v>
      </c>
      <c r="G14" s="8">
        <v>34</v>
      </c>
      <c r="H14" s="6" t="s">
        <v>50</v>
      </c>
      <c r="I14" s="6">
        <v>97.28</v>
      </c>
      <c r="J14" s="6" t="str">
        <f>IF(tblProduction[[#This Row],[Downtime_Min]]&gt;Helper_Calculations!$B$4, "High", IF(tblProduction[[#This Row],[Downtime_Min]]&lt;Helper_Calculations!$B$3,"low","Medium"))</f>
        <v>Medium</v>
      </c>
      <c r="K14" s="42">
        <f>VLOOKUP(tblProduction[[#This Row],[Product_Type]],Defect_Table,4,FALSE)</f>
        <v>2.230142566191446E-2</v>
      </c>
      <c r="L14" s="44">
        <f>VLOOKUP(tblProduction[[#This Row],[Line_ID]],Efficiency_Table,2,FALSE)</f>
        <v>84.103777777777793</v>
      </c>
    </row>
    <row r="15" spans="1:12" x14ac:dyDescent="0.2">
      <c r="A15" s="7" t="s">
        <v>10</v>
      </c>
      <c r="B15" s="6" t="s">
        <v>40</v>
      </c>
      <c r="C15" s="6" t="s">
        <v>43</v>
      </c>
      <c r="D15" s="17" t="s">
        <v>45</v>
      </c>
      <c r="E15" s="8">
        <v>249</v>
      </c>
      <c r="F15" s="8">
        <v>7</v>
      </c>
      <c r="G15" s="8">
        <v>3</v>
      </c>
      <c r="H15" s="6" t="s">
        <v>54</v>
      </c>
      <c r="I15" s="6">
        <v>79.349999999999994</v>
      </c>
      <c r="J15" s="6" t="str">
        <f>IF(tblProduction[[#This Row],[Downtime_Min]]&gt;Helper_Calculations!$B$4, "High", IF(tblProduction[[#This Row],[Downtime_Min]]&lt;Helper_Calculations!$B$3,"low","Medium"))</f>
        <v>low</v>
      </c>
      <c r="K15" s="42">
        <f>VLOOKUP(tblProduction[[#This Row],[Product_Type]],Defect_Table,4,FALSE)</f>
        <v>2.6075502200401161E-2</v>
      </c>
      <c r="L15" s="44">
        <f>VLOOKUP(tblProduction[[#This Row],[Line_ID]],Efficiency_Table,2,FALSE)</f>
        <v>84.346333333333348</v>
      </c>
    </row>
    <row r="16" spans="1:12" x14ac:dyDescent="0.2">
      <c r="A16" s="7" t="s">
        <v>10</v>
      </c>
      <c r="B16" s="6" t="s">
        <v>40</v>
      </c>
      <c r="C16" s="6" t="s">
        <v>44</v>
      </c>
      <c r="D16" s="17" t="s">
        <v>45</v>
      </c>
      <c r="E16" s="8">
        <v>253</v>
      </c>
      <c r="F16" s="8">
        <v>9</v>
      </c>
      <c r="G16" s="8">
        <v>3</v>
      </c>
      <c r="H16" s="6" t="s">
        <v>48</v>
      </c>
      <c r="I16" s="6">
        <v>75.55</v>
      </c>
      <c r="J16" s="6" t="str">
        <f>IF(tblProduction[[#This Row],[Downtime_Min]]&gt;Helper_Calculations!$B$4, "High", IF(tblProduction[[#This Row],[Downtime_Min]]&lt;Helper_Calculations!$B$3,"low","Medium"))</f>
        <v>low</v>
      </c>
      <c r="K16" s="42">
        <f>VLOOKUP(tblProduction[[#This Row],[Product_Type]],Defect_Table,4,FALSE)</f>
        <v>2.6075502200401161E-2</v>
      </c>
      <c r="L16" s="44">
        <f>VLOOKUP(tblProduction[[#This Row],[Line_ID]],Efficiency_Table,2,FALSE)</f>
        <v>83.481999999999985</v>
      </c>
    </row>
    <row r="17" spans="1:12" x14ac:dyDescent="0.2">
      <c r="A17" s="7" t="s">
        <v>10</v>
      </c>
      <c r="B17" s="6" t="s">
        <v>41</v>
      </c>
      <c r="C17" s="6" t="s">
        <v>42</v>
      </c>
      <c r="D17" s="17" t="s">
        <v>47</v>
      </c>
      <c r="E17" s="8">
        <v>390</v>
      </c>
      <c r="F17" s="8">
        <v>17</v>
      </c>
      <c r="G17" s="8">
        <v>25</v>
      </c>
      <c r="H17" s="6" t="s">
        <v>53</v>
      </c>
      <c r="I17" s="6">
        <v>83.49</v>
      </c>
      <c r="J17" s="6" t="str">
        <f>IF(tblProduction[[#This Row],[Downtime_Min]]&gt;Helper_Calculations!$B$4, "High", IF(tblProduction[[#This Row],[Downtime_Min]]&lt;Helper_Calculations!$B$3,"low","Medium"))</f>
        <v>Medium</v>
      </c>
      <c r="K17" s="42">
        <f>VLOOKUP(tblProduction[[#This Row],[Product_Type]],Defect_Table,4,FALSE)</f>
        <v>2.5486680327868851E-2</v>
      </c>
      <c r="L17" s="44">
        <f>VLOOKUP(tblProduction[[#This Row],[Line_ID]],Efficiency_Table,2,FALSE)</f>
        <v>84.103777777777793</v>
      </c>
    </row>
    <row r="18" spans="1:12" x14ac:dyDescent="0.2">
      <c r="A18" s="7" t="s">
        <v>10</v>
      </c>
      <c r="B18" s="6" t="s">
        <v>41</v>
      </c>
      <c r="C18" s="6" t="s">
        <v>43</v>
      </c>
      <c r="D18" s="17" t="s">
        <v>47</v>
      </c>
      <c r="E18" s="8">
        <v>401</v>
      </c>
      <c r="F18" s="8">
        <v>3</v>
      </c>
      <c r="G18" s="8">
        <v>13</v>
      </c>
      <c r="H18" s="6" t="s">
        <v>55</v>
      </c>
      <c r="I18" s="6">
        <v>91.82</v>
      </c>
      <c r="J18" s="6" t="str">
        <f>IF(tblProduction[[#This Row],[Downtime_Min]]&gt;Helper_Calculations!$B$4, "High", IF(tblProduction[[#This Row],[Downtime_Min]]&lt;Helper_Calculations!$B$3,"low","Medium"))</f>
        <v>low</v>
      </c>
      <c r="K18" s="42">
        <f>VLOOKUP(tblProduction[[#This Row],[Product_Type]],Defect_Table,4,FALSE)</f>
        <v>2.5486680327868851E-2</v>
      </c>
      <c r="L18" s="44">
        <f>VLOOKUP(tblProduction[[#This Row],[Line_ID]],Efficiency_Table,2,FALSE)</f>
        <v>84.346333333333348</v>
      </c>
    </row>
    <row r="19" spans="1:12" x14ac:dyDescent="0.2">
      <c r="A19" s="7" t="s">
        <v>10</v>
      </c>
      <c r="B19" s="6" t="s">
        <v>41</v>
      </c>
      <c r="C19" s="6" t="s">
        <v>44</v>
      </c>
      <c r="D19" s="17" t="s">
        <v>46</v>
      </c>
      <c r="E19" s="8">
        <v>470</v>
      </c>
      <c r="F19" s="8">
        <v>7</v>
      </c>
      <c r="G19" s="8">
        <v>13</v>
      </c>
      <c r="H19" s="6" t="s">
        <v>50</v>
      </c>
      <c r="I19" s="6">
        <v>75.88</v>
      </c>
      <c r="J19" s="6" t="str">
        <f>IF(tblProduction[[#This Row],[Downtime_Min]]&gt;Helper_Calculations!$B$4, "High", IF(tblProduction[[#This Row],[Downtime_Min]]&lt;Helper_Calculations!$B$3,"low","Medium"))</f>
        <v>low</v>
      </c>
      <c r="K19" s="42">
        <f>VLOOKUP(tblProduction[[#This Row],[Product_Type]],Defect_Table,4,FALSE)</f>
        <v>2.230142566191446E-2</v>
      </c>
      <c r="L19" s="44">
        <f>VLOOKUP(tblProduction[[#This Row],[Line_ID]],Efficiency_Table,2,FALSE)</f>
        <v>83.481999999999985</v>
      </c>
    </row>
    <row r="20" spans="1:12" x14ac:dyDescent="0.2">
      <c r="A20" s="7" t="s">
        <v>11</v>
      </c>
      <c r="B20" s="6" t="s">
        <v>39</v>
      </c>
      <c r="C20" s="6" t="s">
        <v>42</v>
      </c>
      <c r="D20" s="17" t="s">
        <v>45</v>
      </c>
      <c r="E20" s="8">
        <v>389</v>
      </c>
      <c r="F20" s="8">
        <v>7</v>
      </c>
      <c r="G20" s="8">
        <v>20</v>
      </c>
      <c r="H20" s="6" t="s">
        <v>49</v>
      </c>
      <c r="I20" s="6">
        <v>81.66</v>
      </c>
      <c r="J20" s="6" t="str">
        <f>IF(tblProduction[[#This Row],[Downtime_Min]]&gt;Helper_Calculations!$B$4, "High", IF(tblProduction[[#This Row],[Downtime_Min]]&lt;Helper_Calculations!$B$3,"low","Medium"))</f>
        <v>Medium</v>
      </c>
      <c r="K20" s="42">
        <f>VLOOKUP(tblProduction[[#This Row],[Product_Type]],Defect_Table,4,FALSE)</f>
        <v>2.6075502200401161E-2</v>
      </c>
      <c r="L20" s="44">
        <f>VLOOKUP(tblProduction[[#This Row],[Line_ID]],Efficiency_Table,2,FALSE)</f>
        <v>84.103777777777793</v>
      </c>
    </row>
    <row r="21" spans="1:12" x14ac:dyDescent="0.2">
      <c r="A21" s="7" t="s">
        <v>11</v>
      </c>
      <c r="B21" s="6" t="s">
        <v>39</v>
      </c>
      <c r="C21" s="6" t="s">
        <v>43</v>
      </c>
      <c r="D21" s="17" t="s">
        <v>47</v>
      </c>
      <c r="E21" s="8">
        <v>252</v>
      </c>
      <c r="F21" s="8">
        <v>12</v>
      </c>
      <c r="G21" s="8">
        <v>40</v>
      </c>
      <c r="H21" s="6" t="s">
        <v>53</v>
      </c>
      <c r="I21" s="6">
        <v>78.89</v>
      </c>
      <c r="J21" s="6" t="str">
        <f>IF(tblProduction[[#This Row],[Downtime_Min]]&gt;Helper_Calculations!$B$4, "High", IF(tblProduction[[#This Row],[Downtime_Min]]&lt;Helper_Calculations!$B$3,"low","Medium"))</f>
        <v>Medium</v>
      </c>
      <c r="K21" s="42">
        <f>VLOOKUP(tblProduction[[#This Row],[Product_Type]],Defect_Table,4,FALSE)</f>
        <v>2.5486680327868851E-2</v>
      </c>
      <c r="L21" s="44">
        <f>VLOOKUP(tblProduction[[#This Row],[Line_ID]],Efficiency_Table,2,FALSE)</f>
        <v>84.346333333333348</v>
      </c>
    </row>
    <row r="22" spans="1:12" x14ac:dyDescent="0.2">
      <c r="A22" s="7" t="s">
        <v>11</v>
      </c>
      <c r="B22" s="6" t="s">
        <v>39</v>
      </c>
      <c r="C22" s="6" t="s">
        <v>44</v>
      </c>
      <c r="D22" s="17" t="s">
        <v>47</v>
      </c>
      <c r="E22" s="8">
        <v>264</v>
      </c>
      <c r="F22" s="8">
        <v>6</v>
      </c>
      <c r="G22" s="8">
        <v>8</v>
      </c>
      <c r="H22" s="6" t="s">
        <v>54</v>
      </c>
      <c r="I22" s="6">
        <v>93.17</v>
      </c>
      <c r="J22" s="6" t="str">
        <f>IF(tblProduction[[#This Row],[Downtime_Min]]&gt;Helper_Calculations!$B$4, "High", IF(tblProduction[[#This Row],[Downtime_Min]]&lt;Helper_Calculations!$B$3,"low","Medium"))</f>
        <v>low</v>
      </c>
      <c r="K22" s="42">
        <f>VLOOKUP(tblProduction[[#This Row],[Product_Type]],Defect_Table,4,FALSE)</f>
        <v>2.5486680327868851E-2</v>
      </c>
      <c r="L22" s="44">
        <f>VLOOKUP(tblProduction[[#This Row],[Line_ID]],Efficiency_Table,2,FALSE)</f>
        <v>83.481999999999985</v>
      </c>
    </row>
    <row r="23" spans="1:12" x14ac:dyDescent="0.2">
      <c r="A23" s="7" t="s">
        <v>11</v>
      </c>
      <c r="B23" s="6" t="s">
        <v>40</v>
      </c>
      <c r="C23" s="6" t="s">
        <v>42</v>
      </c>
      <c r="D23" s="17" t="s">
        <v>45</v>
      </c>
      <c r="E23" s="8">
        <v>335</v>
      </c>
      <c r="F23" s="8">
        <v>10</v>
      </c>
      <c r="G23" s="8">
        <v>50</v>
      </c>
      <c r="H23" s="6" t="s">
        <v>56</v>
      </c>
      <c r="I23" s="6">
        <v>91.21</v>
      </c>
      <c r="J23" s="6" t="str">
        <f>IF(tblProduction[[#This Row],[Downtime_Min]]&gt;Helper_Calculations!$B$4, "High", IF(tblProduction[[#This Row],[Downtime_Min]]&lt;Helper_Calculations!$B$3,"low","Medium"))</f>
        <v>High</v>
      </c>
      <c r="K23" s="42">
        <f>VLOOKUP(tblProduction[[#This Row],[Product_Type]],Defect_Table,4,FALSE)</f>
        <v>2.6075502200401161E-2</v>
      </c>
      <c r="L23" s="44">
        <f>VLOOKUP(tblProduction[[#This Row],[Line_ID]],Efficiency_Table,2,FALSE)</f>
        <v>84.103777777777793</v>
      </c>
    </row>
    <row r="24" spans="1:12" x14ac:dyDescent="0.2">
      <c r="A24" s="7" t="s">
        <v>11</v>
      </c>
      <c r="B24" s="6" t="s">
        <v>40</v>
      </c>
      <c r="C24" s="6" t="s">
        <v>43</v>
      </c>
      <c r="D24" s="17" t="s">
        <v>46</v>
      </c>
      <c r="E24" s="8">
        <v>362</v>
      </c>
      <c r="F24" s="8">
        <v>2</v>
      </c>
      <c r="G24" s="8">
        <v>32</v>
      </c>
      <c r="H24" s="6" t="s">
        <v>51</v>
      </c>
      <c r="I24" s="6">
        <v>88.18</v>
      </c>
      <c r="J24" s="6" t="str">
        <f>IF(tblProduction[[#This Row],[Downtime_Min]]&gt;Helper_Calculations!$B$4, "High", IF(tblProduction[[#This Row],[Downtime_Min]]&lt;Helper_Calculations!$B$3,"low","Medium"))</f>
        <v>Medium</v>
      </c>
      <c r="K24" s="42">
        <f>VLOOKUP(tblProduction[[#This Row],[Product_Type]],Defect_Table,4,FALSE)</f>
        <v>2.230142566191446E-2</v>
      </c>
      <c r="L24" s="44">
        <f>VLOOKUP(tblProduction[[#This Row],[Line_ID]],Efficiency_Table,2,FALSE)</f>
        <v>84.346333333333348</v>
      </c>
    </row>
    <row r="25" spans="1:12" x14ac:dyDescent="0.2">
      <c r="A25" s="7" t="s">
        <v>11</v>
      </c>
      <c r="B25" s="6" t="s">
        <v>40</v>
      </c>
      <c r="C25" s="6" t="s">
        <v>44</v>
      </c>
      <c r="D25" s="17" t="s">
        <v>46</v>
      </c>
      <c r="E25" s="8">
        <v>430</v>
      </c>
      <c r="F25" s="8">
        <v>8</v>
      </c>
      <c r="G25" s="8">
        <v>27</v>
      </c>
      <c r="H25" s="6" t="s">
        <v>50</v>
      </c>
      <c r="I25" s="6">
        <v>95.89</v>
      </c>
      <c r="J25" s="6" t="str">
        <f>IF(tblProduction[[#This Row],[Downtime_Min]]&gt;Helper_Calculations!$B$4, "High", IF(tblProduction[[#This Row],[Downtime_Min]]&lt;Helper_Calculations!$B$3,"low","Medium"))</f>
        <v>Medium</v>
      </c>
      <c r="K25" s="42">
        <f>VLOOKUP(tblProduction[[#This Row],[Product_Type]],Defect_Table,4,FALSE)</f>
        <v>2.230142566191446E-2</v>
      </c>
      <c r="L25" s="44">
        <f>VLOOKUP(tblProduction[[#This Row],[Line_ID]],Efficiency_Table,2,FALSE)</f>
        <v>83.481999999999985</v>
      </c>
    </row>
    <row r="26" spans="1:12" x14ac:dyDescent="0.2">
      <c r="A26" s="7" t="s">
        <v>11</v>
      </c>
      <c r="B26" s="6" t="s">
        <v>41</v>
      </c>
      <c r="C26" s="6" t="s">
        <v>42</v>
      </c>
      <c r="D26" s="17" t="s">
        <v>45</v>
      </c>
      <c r="E26" s="8">
        <v>467</v>
      </c>
      <c r="F26" s="8">
        <v>1</v>
      </c>
      <c r="G26" s="8">
        <v>32</v>
      </c>
      <c r="H26" s="6" t="s">
        <v>56</v>
      </c>
      <c r="I26" s="6">
        <v>71.91</v>
      </c>
      <c r="J26" s="6" t="str">
        <f>IF(tblProduction[[#This Row],[Downtime_Min]]&gt;Helper_Calculations!$B$4, "High", IF(tblProduction[[#This Row],[Downtime_Min]]&lt;Helper_Calculations!$B$3,"low","Medium"))</f>
        <v>Medium</v>
      </c>
      <c r="K26" s="42">
        <f>VLOOKUP(tblProduction[[#This Row],[Product_Type]],Defect_Table,4,FALSE)</f>
        <v>2.6075502200401161E-2</v>
      </c>
      <c r="L26" s="44">
        <f>VLOOKUP(tblProduction[[#This Row],[Line_ID]],Efficiency_Table,2,FALSE)</f>
        <v>84.103777777777793</v>
      </c>
    </row>
    <row r="27" spans="1:12" x14ac:dyDescent="0.2">
      <c r="A27" s="7" t="s">
        <v>11</v>
      </c>
      <c r="B27" s="6" t="s">
        <v>41</v>
      </c>
      <c r="C27" s="6" t="s">
        <v>43</v>
      </c>
      <c r="D27" s="17" t="s">
        <v>47</v>
      </c>
      <c r="E27" s="8">
        <v>261</v>
      </c>
      <c r="F27" s="8">
        <v>4</v>
      </c>
      <c r="G27" s="8">
        <v>34</v>
      </c>
      <c r="H27" s="6" t="s">
        <v>55</v>
      </c>
      <c r="I27" s="6">
        <v>87.74</v>
      </c>
      <c r="J27" s="6" t="str">
        <f>IF(tblProduction[[#This Row],[Downtime_Min]]&gt;Helper_Calculations!$B$4, "High", IF(tblProduction[[#This Row],[Downtime_Min]]&lt;Helper_Calculations!$B$3,"low","Medium"))</f>
        <v>Medium</v>
      </c>
      <c r="K27" s="42">
        <f>VLOOKUP(tblProduction[[#This Row],[Product_Type]],Defect_Table,4,FALSE)</f>
        <v>2.5486680327868851E-2</v>
      </c>
      <c r="L27" s="44">
        <f>VLOOKUP(tblProduction[[#This Row],[Line_ID]],Efficiency_Table,2,FALSE)</f>
        <v>84.346333333333348</v>
      </c>
    </row>
    <row r="28" spans="1:12" x14ac:dyDescent="0.2">
      <c r="A28" s="7" t="s">
        <v>11</v>
      </c>
      <c r="B28" s="6" t="s">
        <v>41</v>
      </c>
      <c r="C28" s="6" t="s">
        <v>44</v>
      </c>
      <c r="D28" s="17" t="s">
        <v>45</v>
      </c>
      <c r="E28" s="8">
        <v>413</v>
      </c>
      <c r="F28" s="8">
        <v>2</v>
      </c>
      <c r="G28" s="8">
        <v>0</v>
      </c>
      <c r="H28" s="6" t="s">
        <v>50</v>
      </c>
      <c r="I28" s="6">
        <v>81.489999999999995</v>
      </c>
      <c r="J28" s="6" t="str">
        <f>IF(tblProduction[[#This Row],[Downtime_Min]]&gt;Helper_Calculations!$B$4, "High", IF(tblProduction[[#This Row],[Downtime_Min]]&lt;Helper_Calculations!$B$3,"low","Medium"))</f>
        <v>low</v>
      </c>
      <c r="K28" s="42">
        <f>VLOOKUP(tblProduction[[#This Row],[Product_Type]],Defect_Table,4,FALSE)</f>
        <v>2.6075502200401161E-2</v>
      </c>
      <c r="L28" s="44">
        <f>VLOOKUP(tblProduction[[#This Row],[Line_ID]],Efficiency_Table,2,FALSE)</f>
        <v>83.481999999999985</v>
      </c>
    </row>
    <row r="29" spans="1:12" x14ac:dyDescent="0.2">
      <c r="A29" s="7" t="s">
        <v>12</v>
      </c>
      <c r="B29" s="6" t="s">
        <v>39</v>
      </c>
      <c r="C29" s="6" t="s">
        <v>42</v>
      </c>
      <c r="D29" s="17" t="s">
        <v>47</v>
      </c>
      <c r="E29" s="8">
        <v>330</v>
      </c>
      <c r="F29" s="8">
        <v>0</v>
      </c>
      <c r="G29" s="8">
        <v>4</v>
      </c>
      <c r="H29" s="6" t="s">
        <v>50</v>
      </c>
      <c r="I29" s="6">
        <v>86.84</v>
      </c>
      <c r="J29" s="6" t="str">
        <f>IF(tblProduction[[#This Row],[Downtime_Min]]&gt;Helper_Calculations!$B$4, "High", IF(tblProduction[[#This Row],[Downtime_Min]]&lt;Helper_Calculations!$B$3,"low","Medium"))</f>
        <v>low</v>
      </c>
      <c r="K29" s="42">
        <f>VLOOKUP(tblProduction[[#This Row],[Product_Type]],Defect_Table,4,FALSE)</f>
        <v>2.5486680327868851E-2</v>
      </c>
      <c r="L29" s="44">
        <f>VLOOKUP(tblProduction[[#This Row],[Line_ID]],Efficiency_Table,2,FALSE)</f>
        <v>84.103777777777793</v>
      </c>
    </row>
    <row r="30" spans="1:12" x14ac:dyDescent="0.2">
      <c r="A30" s="7" t="s">
        <v>12</v>
      </c>
      <c r="B30" s="6" t="s">
        <v>39</v>
      </c>
      <c r="C30" s="6" t="s">
        <v>43</v>
      </c>
      <c r="D30" s="17" t="s">
        <v>45</v>
      </c>
      <c r="E30" s="8">
        <v>454</v>
      </c>
      <c r="F30" s="8">
        <v>13</v>
      </c>
      <c r="G30" s="8">
        <v>38</v>
      </c>
      <c r="H30" s="6" t="s">
        <v>51</v>
      </c>
      <c r="I30" s="6">
        <v>71.209999999999994</v>
      </c>
      <c r="J30" s="6" t="str">
        <f>IF(tblProduction[[#This Row],[Downtime_Min]]&gt;Helper_Calculations!$B$4, "High", IF(tblProduction[[#This Row],[Downtime_Min]]&lt;Helper_Calculations!$B$3,"low","Medium"))</f>
        <v>Medium</v>
      </c>
      <c r="K30" s="42">
        <f>VLOOKUP(tblProduction[[#This Row],[Product_Type]],Defect_Table,4,FALSE)</f>
        <v>2.6075502200401161E-2</v>
      </c>
      <c r="L30" s="44">
        <f>VLOOKUP(tblProduction[[#This Row],[Line_ID]],Efficiency_Table,2,FALSE)</f>
        <v>84.346333333333348</v>
      </c>
    </row>
    <row r="31" spans="1:12" x14ac:dyDescent="0.2">
      <c r="A31" s="7" t="s">
        <v>12</v>
      </c>
      <c r="B31" s="6" t="s">
        <v>39</v>
      </c>
      <c r="C31" s="6" t="s">
        <v>44</v>
      </c>
      <c r="D31" s="17" t="s">
        <v>45</v>
      </c>
      <c r="E31" s="8">
        <v>406</v>
      </c>
      <c r="F31" s="8">
        <v>14</v>
      </c>
      <c r="G31" s="8">
        <v>25</v>
      </c>
      <c r="H31" s="6" t="s">
        <v>52</v>
      </c>
      <c r="I31" s="6">
        <v>70.760000000000005</v>
      </c>
      <c r="J31" s="6" t="str">
        <f>IF(tblProduction[[#This Row],[Downtime_Min]]&gt;Helper_Calculations!$B$4, "High", IF(tblProduction[[#This Row],[Downtime_Min]]&lt;Helper_Calculations!$B$3,"low","Medium"))</f>
        <v>Medium</v>
      </c>
      <c r="K31" s="42">
        <f>VLOOKUP(tblProduction[[#This Row],[Product_Type]],Defect_Table,4,FALSE)</f>
        <v>2.6075502200401161E-2</v>
      </c>
      <c r="L31" s="44">
        <f>VLOOKUP(tblProduction[[#This Row],[Line_ID]],Efficiency_Table,2,FALSE)</f>
        <v>83.481999999999985</v>
      </c>
    </row>
    <row r="32" spans="1:12" x14ac:dyDescent="0.2">
      <c r="A32" s="7" t="s">
        <v>12</v>
      </c>
      <c r="B32" s="6" t="s">
        <v>40</v>
      </c>
      <c r="C32" s="6" t="s">
        <v>42</v>
      </c>
      <c r="D32" s="17" t="s">
        <v>45</v>
      </c>
      <c r="E32" s="8">
        <v>378</v>
      </c>
      <c r="F32" s="8">
        <v>6</v>
      </c>
      <c r="G32" s="8">
        <v>48</v>
      </c>
      <c r="H32" s="6" t="s">
        <v>49</v>
      </c>
      <c r="I32" s="6">
        <v>79.430000000000007</v>
      </c>
      <c r="J32" s="6" t="str">
        <f>IF(tblProduction[[#This Row],[Downtime_Min]]&gt;Helper_Calculations!$B$4, "High", IF(tblProduction[[#This Row],[Downtime_Min]]&lt;Helper_Calculations!$B$3,"low","Medium"))</f>
        <v>High</v>
      </c>
      <c r="K32" s="42">
        <f>VLOOKUP(tblProduction[[#This Row],[Product_Type]],Defect_Table,4,FALSE)</f>
        <v>2.6075502200401161E-2</v>
      </c>
      <c r="L32" s="44">
        <f>VLOOKUP(tblProduction[[#This Row],[Line_ID]],Efficiency_Table,2,FALSE)</f>
        <v>84.103777777777793</v>
      </c>
    </row>
    <row r="33" spans="1:12" x14ac:dyDescent="0.2">
      <c r="A33" s="7" t="s">
        <v>12</v>
      </c>
      <c r="B33" s="6" t="s">
        <v>40</v>
      </c>
      <c r="C33" s="6" t="s">
        <v>43</v>
      </c>
      <c r="D33" s="17" t="s">
        <v>45</v>
      </c>
      <c r="E33" s="8">
        <v>295</v>
      </c>
      <c r="F33" s="8">
        <v>3</v>
      </c>
      <c r="G33" s="8">
        <v>29</v>
      </c>
      <c r="H33" s="6" t="s">
        <v>54</v>
      </c>
      <c r="I33" s="6">
        <v>74.180000000000007</v>
      </c>
      <c r="J33" s="6" t="str">
        <f>IF(tblProduction[[#This Row],[Downtime_Min]]&gt;Helper_Calculations!$B$4, "High", IF(tblProduction[[#This Row],[Downtime_Min]]&lt;Helper_Calculations!$B$3,"low","Medium"))</f>
        <v>Medium</v>
      </c>
      <c r="K33" s="42">
        <f>VLOOKUP(tblProduction[[#This Row],[Product_Type]],Defect_Table,4,FALSE)</f>
        <v>2.6075502200401161E-2</v>
      </c>
      <c r="L33" s="44">
        <f>VLOOKUP(tblProduction[[#This Row],[Line_ID]],Efficiency_Table,2,FALSE)</f>
        <v>84.346333333333348</v>
      </c>
    </row>
    <row r="34" spans="1:12" x14ac:dyDescent="0.2">
      <c r="A34" s="7" t="s">
        <v>12</v>
      </c>
      <c r="B34" s="6" t="s">
        <v>40</v>
      </c>
      <c r="C34" s="6" t="s">
        <v>44</v>
      </c>
      <c r="D34" s="17" t="s">
        <v>46</v>
      </c>
      <c r="E34" s="8">
        <v>430</v>
      </c>
      <c r="F34" s="8">
        <v>12</v>
      </c>
      <c r="G34" s="8">
        <v>14</v>
      </c>
      <c r="H34" s="6" t="s">
        <v>49</v>
      </c>
      <c r="I34" s="6">
        <v>92.67</v>
      </c>
      <c r="J34" s="6" t="str">
        <f>IF(tblProduction[[#This Row],[Downtime_Min]]&gt;Helper_Calculations!$B$4, "High", IF(tblProduction[[#This Row],[Downtime_Min]]&lt;Helper_Calculations!$B$3,"low","Medium"))</f>
        <v>low</v>
      </c>
      <c r="K34" s="42">
        <f>VLOOKUP(tblProduction[[#This Row],[Product_Type]],Defect_Table,4,FALSE)</f>
        <v>2.230142566191446E-2</v>
      </c>
      <c r="L34" s="44">
        <f>VLOOKUP(tblProduction[[#This Row],[Line_ID]],Efficiency_Table,2,FALSE)</f>
        <v>83.481999999999985</v>
      </c>
    </row>
    <row r="35" spans="1:12" x14ac:dyDescent="0.2">
      <c r="A35" s="7" t="s">
        <v>12</v>
      </c>
      <c r="B35" s="6" t="s">
        <v>41</v>
      </c>
      <c r="C35" s="6" t="s">
        <v>42</v>
      </c>
      <c r="D35" s="17" t="s">
        <v>46</v>
      </c>
      <c r="E35" s="8">
        <v>235</v>
      </c>
      <c r="F35" s="8">
        <v>12</v>
      </c>
      <c r="G35" s="8">
        <v>31</v>
      </c>
      <c r="H35" s="6" t="s">
        <v>49</v>
      </c>
      <c r="I35" s="6">
        <v>87.97</v>
      </c>
      <c r="J35" s="6" t="str">
        <f>IF(tblProduction[[#This Row],[Downtime_Min]]&gt;Helper_Calculations!$B$4, "High", IF(tblProduction[[#This Row],[Downtime_Min]]&lt;Helper_Calculations!$B$3,"low","Medium"))</f>
        <v>Medium</v>
      </c>
      <c r="K35" s="42">
        <f>VLOOKUP(tblProduction[[#This Row],[Product_Type]],Defect_Table,4,FALSE)</f>
        <v>2.230142566191446E-2</v>
      </c>
      <c r="L35" s="44">
        <f>VLOOKUP(tblProduction[[#This Row],[Line_ID]],Efficiency_Table,2,FALSE)</f>
        <v>84.103777777777793</v>
      </c>
    </row>
    <row r="36" spans="1:12" x14ac:dyDescent="0.2">
      <c r="A36" s="7" t="s">
        <v>12</v>
      </c>
      <c r="B36" s="6" t="s">
        <v>41</v>
      </c>
      <c r="C36" s="6" t="s">
        <v>43</v>
      </c>
      <c r="D36" s="17" t="s">
        <v>47</v>
      </c>
      <c r="E36" s="8">
        <v>442</v>
      </c>
      <c r="F36" s="8">
        <v>1</v>
      </c>
      <c r="G36" s="8">
        <v>41</v>
      </c>
      <c r="H36" s="6" t="s">
        <v>54</v>
      </c>
      <c r="I36" s="6">
        <v>94.24</v>
      </c>
      <c r="J36" s="6" t="str">
        <f>IF(tblProduction[[#This Row],[Downtime_Min]]&gt;Helper_Calculations!$B$4, "High", IF(tblProduction[[#This Row],[Downtime_Min]]&lt;Helper_Calculations!$B$3,"low","Medium"))</f>
        <v>Medium</v>
      </c>
      <c r="K36" s="42">
        <f>VLOOKUP(tblProduction[[#This Row],[Product_Type]],Defect_Table,4,FALSE)</f>
        <v>2.5486680327868851E-2</v>
      </c>
      <c r="L36" s="44">
        <f>VLOOKUP(tblProduction[[#This Row],[Line_ID]],Efficiency_Table,2,FALSE)</f>
        <v>84.346333333333348</v>
      </c>
    </row>
    <row r="37" spans="1:12" x14ac:dyDescent="0.2">
      <c r="A37" s="7" t="s">
        <v>12</v>
      </c>
      <c r="B37" s="6" t="s">
        <v>41</v>
      </c>
      <c r="C37" s="6" t="s">
        <v>44</v>
      </c>
      <c r="D37" s="17" t="s">
        <v>47</v>
      </c>
      <c r="E37" s="8">
        <v>333</v>
      </c>
      <c r="F37" s="8">
        <v>11</v>
      </c>
      <c r="G37" s="8">
        <v>43</v>
      </c>
      <c r="H37" s="6" t="s">
        <v>48</v>
      </c>
      <c r="I37" s="6">
        <v>82.5</v>
      </c>
      <c r="J37" s="6" t="str">
        <f>IF(tblProduction[[#This Row],[Downtime_Min]]&gt;Helper_Calculations!$B$4, "High", IF(tblProduction[[#This Row],[Downtime_Min]]&lt;Helper_Calculations!$B$3,"low","Medium"))</f>
        <v>Medium</v>
      </c>
      <c r="K37" s="42">
        <f>VLOOKUP(tblProduction[[#This Row],[Product_Type]],Defect_Table,4,FALSE)</f>
        <v>2.5486680327868851E-2</v>
      </c>
      <c r="L37" s="44">
        <f>VLOOKUP(tblProduction[[#This Row],[Line_ID]],Efficiency_Table,2,FALSE)</f>
        <v>83.481999999999985</v>
      </c>
    </row>
    <row r="38" spans="1:12" x14ac:dyDescent="0.2">
      <c r="A38" s="7" t="s">
        <v>13</v>
      </c>
      <c r="B38" s="6" t="s">
        <v>39</v>
      </c>
      <c r="C38" s="6" t="s">
        <v>42</v>
      </c>
      <c r="D38" s="17" t="s">
        <v>47</v>
      </c>
      <c r="E38" s="8">
        <v>327</v>
      </c>
      <c r="F38" s="8">
        <v>6</v>
      </c>
      <c r="G38" s="8">
        <v>32</v>
      </c>
      <c r="H38" s="6" t="s">
        <v>52</v>
      </c>
      <c r="I38" s="6">
        <v>78.16</v>
      </c>
      <c r="J38" s="6" t="str">
        <f>IF(tblProduction[[#This Row],[Downtime_Min]]&gt;Helper_Calculations!$B$4, "High", IF(tblProduction[[#This Row],[Downtime_Min]]&lt;Helper_Calculations!$B$3,"low","Medium"))</f>
        <v>Medium</v>
      </c>
      <c r="K38" s="42">
        <f>VLOOKUP(tblProduction[[#This Row],[Product_Type]],Defect_Table,4,FALSE)</f>
        <v>2.5486680327868851E-2</v>
      </c>
      <c r="L38" s="44">
        <f>VLOOKUP(tblProduction[[#This Row],[Line_ID]],Efficiency_Table,2,FALSE)</f>
        <v>84.103777777777793</v>
      </c>
    </row>
    <row r="39" spans="1:12" x14ac:dyDescent="0.2">
      <c r="A39" s="7" t="s">
        <v>13</v>
      </c>
      <c r="B39" s="6" t="s">
        <v>39</v>
      </c>
      <c r="C39" s="6" t="s">
        <v>43</v>
      </c>
      <c r="D39" s="17" t="s">
        <v>45</v>
      </c>
      <c r="E39" s="8">
        <v>482</v>
      </c>
      <c r="F39" s="8">
        <v>19</v>
      </c>
      <c r="G39" s="8">
        <v>12</v>
      </c>
      <c r="H39" s="6" t="s">
        <v>48</v>
      </c>
      <c r="I39" s="6">
        <v>95.82</v>
      </c>
      <c r="J39" s="6" t="str">
        <f>IF(tblProduction[[#This Row],[Downtime_Min]]&gt;Helper_Calculations!$B$4, "High", IF(tblProduction[[#This Row],[Downtime_Min]]&lt;Helper_Calculations!$B$3,"low","Medium"))</f>
        <v>low</v>
      </c>
      <c r="K39" s="42">
        <f>VLOOKUP(tblProduction[[#This Row],[Product_Type]],Defect_Table,4,FALSE)</f>
        <v>2.6075502200401161E-2</v>
      </c>
      <c r="L39" s="44">
        <f>VLOOKUP(tblProduction[[#This Row],[Line_ID]],Efficiency_Table,2,FALSE)</f>
        <v>84.346333333333348</v>
      </c>
    </row>
    <row r="40" spans="1:12" x14ac:dyDescent="0.2">
      <c r="A40" s="7" t="s">
        <v>13</v>
      </c>
      <c r="B40" s="6" t="s">
        <v>39</v>
      </c>
      <c r="C40" s="6" t="s">
        <v>44</v>
      </c>
      <c r="D40" s="17" t="s">
        <v>47</v>
      </c>
      <c r="E40" s="8">
        <v>397</v>
      </c>
      <c r="F40" s="8">
        <v>7</v>
      </c>
      <c r="G40" s="8">
        <v>26</v>
      </c>
      <c r="H40" s="6" t="s">
        <v>56</v>
      </c>
      <c r="I40" s="6">
        <v>82.52</v>
      </c>
      <c r="J40" s="6" t="str">
        <f>IF(tblProduction[[#This Row],[Downtime_Min]]&gt;Helper_Calculations!$B$4, "High", IF(tblProduction[[#This Row],[Downtime_Min]]&lt;Helper_Calculations!$B$3,"low","Medium"))</f>
        <v>Medium</v>
      </c>
      <c r="K40" s="42">
        <f>VLOOKUP(tblProduction[[#This Row],[Product_Type]],Defect_Table,4,FALSE)</f>
        <v>2.5486680327868851E-2</v>
      </c>
      <c r="L40" s="44">
        <f>VLOOKUP(tblProduction[[#This Row],[Line_ID]],Efficiency_Table,2,FALSE)</f>
        <v>83.481999999999985</v>
      </c>
    </row>
    <row r="41" spans="1:12" x14ac:dyDescent="0.2">
      <c r="A41" s="7" t="s">
        <v>13</v>
      </c>
      <c r="B41" s="6" t="s">
        <v>40</v>
      </c>
      <c r="C41" s="6" t="s">
        <v>42</v>
      </c>
      <c r="D41" s="17" t="s">
        <v>47</v>
      </c>
      <c r="E41" s="8">
        <v>364</v>
      </c>
      <c r="F41" s="8">
        <v>0</v>
      </c>
      <c r="G41" s="8">
        <v>50</v>
      </c>
      <c r="H41" s="6" t="s">
        <v>54</v>
      </c>
      <c r="I41" s="6">
        <v>78.08</v>
      </c>
      <c r="J41" s="6" t="str">
        <f>IF(tblProduction[[#This Row],[Downtime_Min]]&gt;Helper_Calculations!$B$4, "High", IF(tblProduction[[#This Row],[Downtime_Min]]&lt;Helper_Calculations!$B$3,"low","Medium"))</f>
        <v>High</v>
      </c>
      <c r="K41" s="42">
        <f>VLOOKUP(tblProduction[[#This Row],[Product_Type]],Defect_Table,4,FALSE)</f>
        <v>2.5486680327868851E-2</v>
      </c>
      <c r="L41" s="44">
        <f>VLOOKUP(tblProduction[[#This Row],[Line_ID]],Efficiency_Table,2,FALSE)</f>
        <v>84.103777777777793</v>
      </c>
    </row>
    <row r="42" spans="1:12" x14ac:dyDescent="0.2">
      <c r="A42" s="7" t="s">
        <v>13</v>
      </c>
      <c r="B42" s="6" t="s">
        <v>40</v>
      </c>
      <c r="C42" s="6" t="s">
        <v>43</v>
      </c>
      <c r="D42" s="17" t="s">
        <v>47</v>
      </c>
      <c r="E42" s="8">
        <v>351</v>
      </c>
      <c r="F42" s="8">
        <v>14</v>
      </c>
      <c r="G42" s="8">
        <v>58</v>
      </c>
      <c r="H42" s="6" t="s">
        <v>55</v>
      </c>
      <c r="I42" s="6">
        <v>79.7</v>
      </c>
      <c r="J42" s="6" t="str">
        <f>IF(tblProduction[[#This Row],[Downtime_Min]]&gt;Helper_Calculations!$B$4, "High", IF(tblProduction[[#This Row],[Downtime_Min]]&lt;Helper_Calculations!$B$3,"low","Medium"))</f>
        <v>High</v>
      </c>
      <c r="K42" s="42">
        <f>VLOOKUP(tblProduction[[#This Row],[Product_Type]],Defect_Table,4,FALSE)</f>
        <v>2.5486680327868851E-2</v>
      </c>
      <c r="L42" s="44">
        <f>VLOOKUP(tblProduction[[#This Row],[Line_ID]],Efficiency_Table,2,FALSE)</f>
        <v>84.346333333333348</v>
      </c>
    </row>
    <row r="43" spans="1:12" x14ac:dyDescent="0.2">
      <c r="A43" s="7" t="s">
        <v>13</v>
      </c>
      <c r="B43" s="6" t="s">
        <v>40</v>
      </c>
      <c r="C43" s="6" t="s">
        <v>44</v>
      </c>
      <c r="D43" s="17" t="s">
        <v>46</v>
      </c>
      <c r="E43" s="8">
        <v>295</v>
      </c>
      <c r="F43" s="8">
        <v>8</v>
      </c>
      <c r="G43" s="8">
        <v>51</v>
      </c>
      <c r="H43" s="6" t="s">
        <v>53</v>
      </c>
      <c r="I43" s="6">
        <v>80.91</v>
      </c>
      <c r="J43" s="6" t="str">
        <f>IF(tblProduction[[#This Row],[Downtime_Min]]&gt;Helper_Calculations!$B$4, "High", IF(tblProduction[[#This Row],[Downtime_Min]]&lt;Helper_Calculations!$B$3,"low","Medium"))</f>
        <v>High</v>
      </c>
      <c r="K43" s="42">
        <f>VLOOKUP(tblProduction[[#This Row],[Product_Type]],Defect_Table,4,FALSE)</f>
        <v>2.230142566191446E-2</v>
      </c>
      <c r="L43" s="44">
        <f>VLOOKUP(tblProduction[[#This Row],[Line_ID]],Efficiency_Table,2,FALSE)</f>
        <v>83.481999999999985</v>
      </c>
    </row>
    <row r="44" spans="1:12" x14ac:dyDescent="0.2">
      <c r="A44" s="7" t="s">
        <v>13</v>
      </c>
      <c r="B44" s="6" t="s">
        <v>41</v>
      </c>
      <c r="C44" s="6" t="s">
        <v>42</v>
      </c>
      <c r="D44" s="17" t="s">
        <v>47</v>
      </c>
      <c r="E44" s="8">
        <v>251</v>
      </c>
      <c r="F44" s="8">
        <v>11</v>
      </c>
      <c r="G44" s="8">
        <v>38</v>
      </c>
      <c r="H44" s="6" t="s">
        <v>56</v>
      </c>
      <c r="I44" s="6">
        <v>84.92</v>
      </c>
      <c r="J44" s="6" t="str">
        <f>IF(tblProduction[[#This Row],[Downtime_Min]]&gt;Helper_Calculations!$B$4, "High", IF(tblProduction[[#This Row],[Downtime_Min]]&lt;Helper_Calculations!$B$3,"low","Medium"))</f>
        <v>Medium</v>
      </c>
      <c r="K44" s="42">
        <f>VLOOKUP(tblProduction[[#This Row],[Product_Type]],Defect_Table,4,FALSE)</f>
        <v>2.5486680327868851E-2</v>
      </c>
      <c r="L44" s="44">
        <f>VLOOKUP(tblProduction[[#This Row],[Line_ID]],Efficiency_Table,2,FALSE)</f>
        <v>84.103777777777793</v>
      </c>
    </row>
    <row r="45" spans="1:12" x14ac:dyDescent="0.2">
      <c r="A45" s="7" t="s">
        <v>13</v>
      </c>
      <c r="B45" s="6" t="s">
        <v>41</v>
      </c>
      <c r="C45" s="6" t="s">
        <v>43</v>
      </c>
      <c r="D45" s="17" t="s">
        <v>46</v>
      </c>
      <c r="E45" s="8">
        <v>312</v>
      </c>
      <c r="F45" s="8">
        <v>4</v>
      </c>
      <c r="G45" s="8">
        <v>48</v>
      </c>
      <c r="H45" s="6" t="s">
        <v>48</v>
      </c>
      <c r="I45" s="6">
        <v>99.93</v>
      </c>
      <c r="J45" s="6" t="str">
        <f>IF(tblProduction[[#This Row],[Downtime_Min]]&gt;Helper_Calculations!$B$4, "High", IF(tblProduction[[#This Row],[Downtime_Min]]&lt;Helper_Calculations!$B$3,"low","Medium"))</f>
        <v>High</v>
      </c>
      <c r="K45" s="42">
        <f>VLOOKUP(tblProduction[[#This Row],[Product_Type]],Defect_Table,4,FALSE)</f>
        <v>2.230142566191446E-2</v>
      </c>
      <c r="L45" s="44">
        <f>VLOOKUP(tblProduction[[#This Row],[Line_ID]],Efficiency_Table,2,FALSE)</f>
        <v>84.346333333333348</v>
      </c>
    </row>
    <row r="46" spans="1:12" x14ac:dyDescent="0.2">
      <c r="A46" s="7" t="s">
        <v>13</v>
      </c>
      <c r="B46" s="6" t="s">
        <v>41</v>
      </c>
      <c r="C46" s="6" t="s">
        <v>44</v>
      </c>
      <c r="D46" s="17" t="s">
        <v>46</v>
      </c>
      <c r="E46" s="8">
        <v>386</v>
      </c>
      <c r="F46" s="8">
        <v>16</v>
      </c>
      <c r="G46" s="8">
        <v>1</v>
      </c>
      <c r="H46" s="6" t="s">
        <v>52</v>
      </c>
      <c r="I46" s="6">
        <v>85.08</v>
      </c>
      <c r="J46" s="6" t="str">
        <f>IF(tblProduction[[#This Row],[Downtime_Min]]&gt;Helper_Calculations!$B$4, "High", IF(tblProduction[[#This Row],[Downtime_Min]]&lt;Helper_Calculations!$B$3,"low","Medium"))</f>
        <v>low</v>
      </c>
      <c r="K46" s="42">
        <f>VLOOKUP(tblProduction[[#This Row],[Product_Type]],Defect_Table,4,FALSE)</f>
        <v>2.230142566191446E-2</v>
      </c>
      <c r="L46" s="44">
        <f>VLOOKUP(tblProduction[[#This Row],[Line_ID]],Efficiency_Table,2,FALSE)</f>
        <v>83.481999999999985</v>
      </c>
    </row>
    <row r="47" spans="1:12" x14ac:dyDescent="0.2">
      <c r="A47" s="7" t="s">
        <v>14</v>
      </c>
      <c r="B47" s="6" t="s">
        <v>39</v>
      </c>
      <c r="C47" s="6" t="s">
        <v>42</v>
      </c>
      <c r="D47" s="17" t="s">
        <v>46</v>
      </c>
      <c r="E47" s="8">
        <v>253</v>
      </c>
      <c r="F47" s="8">
        <v>4</v>
      </c>
      <c r="G47" s="8">
        <v>31</v>
      </c>
      <c r="H47" s="6" t="s">
        <v>57</v>
      </c>
      <c r="I47" s="6">
        <v>97.25</v>
      </c>
      <c r="J47" s="6" t="str">
        <f>IF(tblProduction[[#This Row],[Downtime_Min]]&gt;Helper_Calculations!$B$4, "High", IF(tblProduction[[#This Row],[Downtime_Min]]&lt;Helper_Calculations!$B$3,"low","Medium"))</f>
        <v>Medium</v>
      </c>
      <c r="K47" s="42">
        <f>VLOOKUP(tblProduction[[#This Row],[Product_Type]],Defect_Table,4,FALSE)</f>
        <v>2.230142566191446E-2</v>
      </c>
      <c r="L47" s="44">
        <f>VLOOKUP(tblProduction[[#This Row],[Line_ID]],Efficiency_Table,2,FALSE)</f>
        <v>84.103777777777793</v>
      </c>
    </row>
    <row r="48" spans="1:12" x14ac:dyDescent="0.2">
      <c r="A48" s="7" t="s">
        <v>14</v>
      </c>
      <c r="B48" s="6" t="s">
        <v>39</v>
      </c>
      <c r="C48" s="6" t="s">
        <v>43</v>
      </c>
      <c r="D48" s="17" t="s">
        <v>47</v>
      </c>
      <c r="E48" s="8">
        <v>325</v>
      </c>
      <c r="F48" s="8">
        <v>1</v>
      </c>
      <c r="G48" s="8">
        <v>52</v>
      </c>
      <c r="H48" s="6" t="s">
        <v>55</v>
      </c>
      <c r="I48" s="6">
        <v>84.68</v>
      </c>
      <c r="J48" s="6" t="str">
        <f>IF(tblProduction[[#This Row],[Downtime_Min]]&gt;Helper_Calculations!$B$4, "High", IF(tblProduction[[#This Row],[Downtime_Min]]&lt;Helper_Calculations!$B$3,"low","Medium"))</f>
        <v>High</v>
      </c>
      <c r="K48" s="42">
        <f>VLOOKUP(tblProduction[[#This Row],[Product_Type]],Defect_Table,4,FALSE)</f>
        <v>2.5486680327868851E-2</v>
      </c>
      <c r="L48" s="44">
        <f>VLOOKUP(tblProduction[[#This Row],[Line_ID]],Efficiency_Table,2,FALSE)</f>
        <v>84.346333333333348</v>
      </c>
    </row>
    <row r="49" spans="1:12" x14ac:dyDescent="0.2">
      <c r="A49" s="7" t="s">
        <v>14</v>
      </c>
      <c r="B49" s="6" t="s">
        <v>39</v>
      </c>
      <c r="C49" s="6" t="s">
        <v>44</v>
      </c>
      <c r="D49" s="17" t="s">
        <v>45</v>
      </c>
      <c r="E49" s="8">
        <v>359</v>
      </c>
      <c r="F49" s="8">
        <v>5</v>
      </c>
      <c r="G49" s="8">
        <v>31</v>
      </c>
      <c r="H49" s="6" t="s">
        <v>52</v>
      </c>
      <c r="I49" s="6">
        <v>87.78</v>
      </c>
      <c r="J49" s="6" t="str">
        <f>IF(tblProduction[[#This Row],[Downtime_Min]]&gt;Helper_Calculations!$B$4, "High", IF(tblProduction[[#This Row],[Downtime_Min]]&lt;Helper_Calculations!$B$3,"low","Medium"))</f>
        <v>Medium</v>
      </c>
      <c r="K49" s="42">
        <f>VLOOKUP(tblProduction[[#This Row],[Product_Type]],Defect_Table,4,FALSE)</f>
        <v>2.6075502200401161E-2</v>
      </c>
      <c r="L49" s="44">
        <f>VLOOKUP(tblProduction[[#This Row],[Line_ID]],Efficiency_Table,2,FALSE)</f>
        <v>83.481999999999985</v>
      </c>
    </row>
    <row r="50" spans="1:12" x14ac:dyDescent="0.2">
      <c r="A50" s="7" t="s">
        <v>14</v>
      </c>
      <c r="B50" s="6" t="s">
        <v>40</v>
      </c>
      <c r="C50" s="6" t="s">
        <v>42</v>
      </c>
      <c r="D50" s="17" t="s">
        <v>47</v>
      </c>
      <c r="E50" s="8">
        <v>402</v>
      </c>
      <c r="F50" s="8">
        <v>16</v>
      </c>
      <c r="G50" s="8">
        <v>37</v>
      </c>
      <c r="H50" s="6" t="s">
        <v>49</v>
      </c>
      <c r="I50" s="6">
        <v>81.03</v>
      </c>
      <c r="J50" s="6" t="str">
        <f>IF(tblProduction[[#This Row],[Downtime_Min]]&gt;Helper_Calculations!$B$4, "High", IF(tblProduction[[#This Row],[Downtime_Min]]&lt;Helper_Calculations!$B$3,"low","Medium"))</f>
        <v>Medium</v>
      </c>
      <c r="K50" s="42">
        <f>VLOOKUP(tblProduction[[#This Row],[Product_Type]],Defect_Table,4,FALSE)</f>
        <v>2.5486680327868851E-2</v>
      </c>
      <c r="L50" s="44">
        <f>VLOOKUP(tblProduction[[#This Row],[Line_ID]],Efficiency_Table,2,FALSE)</f>
        <v>84.103777777777793</v>
      </c>
    </row>
    <row r="51" spans="1:12" x14ac:dyDescent="0.2">
      <c r="A51" s="7" t="s">
        <v>14</v>
      </c>
      <c r="B51" s="6" t="s">
        <v>40</v>
      </c>
      <c r="C51" s="6" t="s">
        <v>43</v>
      </c>
      <c r="D51" s="17" t="s">
        <v>46</v>
      </c>
      <c r="E51" s="8">
        <v>297</v>
      </c>
      <c r="F51" s="8">
        <v>5</v>
      </c>
      <c r="G51" s="8">
        <v>21</v>
      </c>
      <c r="H51" s="6" t="s">
        <v>52</v>
      </c>
      <c r="I51" s="6">
        <v>86.07</v>
      </c>
      <c r="J51" s="6" t="str">
        <f>IF(tblProduction[[#This Row],[Downtime_Min]]&gt;Helper_Calculations!$B$4, "High", IF(tblProduction[[#This Row],[Downtime_Min]]&lt;Helper_Calculations!$B$3,"low","Medium"))</f>
        <v>Medium</v>
      </c>
      <c r="K51" s="42">
        <f>VLOOKUP(tblProduction[[#This Row],[Product_Type]],Defect_Table,4,FALSE)</f>
        <v>2.230142566191446E-2</v>
      </c>
      <c r="L51" s="44">
        <f>VLOOKUP(tblProduction[[#This Row],[Line_ID]],Efficiency_Table,2,FALSE)</f>
        <v>84.346333333333348</v>
      </c>
    </row>
    <row r="52" spans="1:12" x14ac:dyDescent="0.2">
      <c r="A52" s="7" t="s">
        <v>14</v>
      </c>
      <c r="B52" s="6" t="s">
        <v>40</v>
      </c>
      <c r="C52" s="6" t="s">
        <v>44</v>
      </c>
      <c r="D52" s="17" t="s">
        <v>47</v>
      </c>
      <c r="E52" s="8">
        <v>439</v>
      </c>
      <c r="F52" s="8">
        <v>15</v>
      </c>
      <c r="G52" s="8">
        <v>32</v>
      </c>
      <c r="H52" s="6" t="s">
        <v>53</v>
      </c>
      <c r="I52" s="6">
        <v>74.52</v>
      </c>
      <c r="J52" s="6" t="str">
        <f>IF(tblProduction[[#This Row],[Downtime_Min]]&gt;Helper_Calculations!$B$4, "High", IF(tblProduction[[#This Row],[Downtime_Min]]&lt;Helper_Calculations!$B$3,"low","Medium"))</f>
        <v>Medium</v>
      </c>
      <c r="K52" s="42">
        <f>VLOOKUP(tblProduction[[#This Row],[Product_Type]],Defect_Table,4,FALSE)</f>
        <v>2.5486680327868851E-2</v>
      </c>
      <c r="L52" s="44">
        <f>VLOOKUP(tblProduction[[#This Row],[Line_ID]],Efficiency_Table,2,FALSE)</f>
        <v>83.481999999999985</v>
      </c>
    </row>
    <row r="53" spans="1:12" x14ac:dyDescent="0.2">
      <c r="A53" s="7" t="s">
        <v>14</v>
      </c>
      <c r="B53" s="6" t="s">
        <v>41</v>
      </c>
      <c r="C53" s="6" t="s">
        <v>42</v>
      </c>
      <c r="D53" s="17" t="s">
        <v>46</v>
      </c>
      <c r="E53" s="8">
        <v>386</v>
      </c>
      <c r="F53" s="8">
        <v>5</v>
      </c>
      <c r="G53" s="8">
        <v>15</v>
      </c>
      <c r="H53" s="6" t="s">
        <v>53</v>
      </c>
      <c r="I53" s="6">
        <v>71.22</v>
      </c>
      <c r="J53" s="6" t="str">
        <f>IF(tblProduction[[#This Row],[Downtime_Min]]&gt;Helper_Calculations!$B$4, "High", IF(tblProduction[[#This Row],[Downtime_Min]]&lt;Helper_Calculations!$B$3,"low","Medium"))</f>
        <v>low</v>
      </c>
      <c r="K53" s="42">
        <f>VLOOKUP(tblProduction[[#This Row],[Product_Type]],Defect_Table,4,FALSE)</f>
        <v>2.230142566191446E-2</v>
      </c>
      <c r="L53" s="44">
        <f>VLOOKUP(tblProduction[[#This Row],[Line_ID]],Efficiency_Table,2,FALSE)</f>
        <v>84.103777777777793</v>
      </c>
    </row>
    <row r="54" spans="1:12" x14ac:dyDescent="0.2">
      <c r="A54" s="7" t="s">
        <v>14</v>
      </c>
      <c r="B54" s="6" t="s">
        <v>41</v>
      </c>
      <c r="C54" s="6" t="s">
        <v>43</v>
      </c>
      <c r="D54" s="17" t="s">
        <v>46</v>
      </c>
      <c r="E54" s="8">
        <v>347</v>
      </c>
      <c r="F54" s="8">
        <v>3</v>
      </c>
      <c r="G54" s="8">
        <v>18</v>
      </c>
      <c r="H54" s="6" t="s">
        <v>53</v>
      </c>
      <c r="I54" s="6">
        <v>91.33</v>
      </c>
      <c r="J54" s="6" t="str">
        <f>IF(tblProduction[[#This Row],[Downtime_Min]]&gt;Helper_Calculations!$B$4, "High", IF(tblProduction[[#This Row],[Downtime_Min]]&lt;Helper_Calculations!$B$3,"low","Medium"))</f>
        <v>Medium</v>
      </c>
      <c r="K54" s="42">
        <f>VLOOKUP(tblProduction[[#This Row],[Product_Type]],Defect_Table,4,FALSE)</f>
        <v>2.230142566191446E-2</v>
      </c>
      <c r="L54" s="44">
        <f>VLOOKUP(tblProduction[[#This Row],[Line_ID]],Efficiency_Table,2,FALSE)</f>
        <v>84.346333333333348</v>
      </c>
    </row>
    <row r="55" spans="1:12" x14ac:dyDescent="0.2">
      <c r="A55" s="7" t="s">
        <v>14</v>
      </c>
      <c r="B55" s="6" t="s">
        <v>41</v>
      </c>
      <c r="C55" s="6" t="s">
        <v>44</v>
      </c>
      <c r="D55" s="17" t="s">
        <v>46</v>
      </c>
      <c r="E55" s="8">
        <v>346</v>
      </c>
      <c r="F55" s="8">
        <v>19</v>
      </c>
      <c r="G55" s="8">
        <v>31</v>
      </c>
      <c r="H55" s="6" t="s">
        <v>49</v>
      </c>
      <c r="I55" s="6">
        <v>72.89</v>
      </c>
      <c r="J55" s="6" t="str">
        <f>IF(tblProduction[[#This Row],[Downtime_Min]]&gt;Helper_Calculations!$B$4, "High", IF(tblProduction[[#This Row],[Downtime_Min]]&lt;Helper_Calculations!$B$3,"low","Medium"))</f>
        <v>Medium</v>
      </c>
      <c r="K55" s="42">
        <f>VLOOKUP(tblProduction[[#This Row],[Product_Type]],Defect_Table,4,FALSE)</f>
        <v>2.230142566191446E-2</v>
      </c>
      <c r="L55" s="44">
        <f>VLOOKUP(tblProduction[[#This Row],[Line_ID]],Efficiency_Table,2,FALSE)</f>
        <v>83.481999999999985</v>
      </c>
    </row>
    <row r="56" spans="1:12" x14ac:dyDescent="0.2">
      <c r="A56" s="7" t="s">
        <v>15</v>
      </c>
      <c r="B56" s="6" t="s">
        <v>39</v>
      </c>
      <c r="C56" s="6" t="s">
        <v>42</v>
      </c>
      <c r="D56" s="17" t="s">
        <v>47</v>
      </c>
      <c r="E56" s="8">
        <v>327</v>
      </c>
      <c r="F56" s="8">
        <v>6</v>
      </c>
      <c r="G56" s="8">
        <v>17</v>
      </c>
      <c r="H56" s="6" t="s">
        <v>57</v>
      </c>
      <c r="I56" s="6">
        <v>95.13</v>
      </c>
      <c r="J56" s="6" t="str">
        <f>IF(tblProduction[[#This Row],[Downtime_Min]]&gt;Helper_Calculations!$B$4, "High", IF(tblProduction[[#This Row],[Downtime_Min]]&lt;Helper_Calculations!$B$3,"low","Medium"))</f>
        <v>low</v>
      </c>
      <c r="K56" s="42">
        <f>VLOOKUP(tblProduction[[#This Row],[Product_Type]],Defect_Table,4,FALSE)</f>
        <v>2.5486680327868851E-2</v>
      </c>
      <c r="L56" s="44">
        <f>VLOOKUP(tblProduction[[#This Row],[Line_ID]],Efficiency_Table,2,FALSE)</f>
        <v>84.103777777777793</v>
      </c>
    </row>
    <row r="57" spans="1:12" x14ac:dyDescent="0.2">
      <c r="A57" s="7" t="s">
        <v>15</v>
      </c>
      <c r="B57" s="6" t="s">
        <v>39</v>
      </c>
      <c r="C57" s="6" t="s">
        <v>43</v>
      </c>
      <c r="D57" s="17" t="s">
        <v>47</v>
      </c>
      <c r="E57" s="8">
        <v>466</v>
      </c>
      <c r="F57" s="8">
        <v>17</v>
      </c>
      <c r="G57" s="8">
        <v>22</v>
      </c>
      <c r="H57" s="6" t="s">
        <v>50</v>
      </c>
      <c r="I57" s="6">
        <v>86.24</v>
      </c>
      <c r="J57" s="6" t="str">
        <f>IF(tblProduction[[#This Row],[Downtime_Min]]&gt;Helper_Calculations!$B$4, "High", IF(tblProduction[[#This Row],[Downtime_Min]]&lt;Helper_Calculations!$B$3,"low","Medium"))</f>
        <v>Medium</v>
      </c>
      <c r="K57" s="42">
        <f>VLOOKUP(tblProduction[[#This Row],[Product_Type]],Defect_Table,4,FALSE)</f>
        <v>2.5486680327868851E-2</v>
      </c>
      <c r="L57" s="44">
        <f>VLOOKUP(tblProduction[[#This Row],[Line_ID]],Efficiency_Table,2,FALSE)</f>
        <v>84.346333333333348</v>
      </c>
    </row>
    <row r="58" spans="1:12" x14ac:dyDescent="0.2">
      <c r="A58" s="7" t="s">
        <v>15</v>
      </c>
      <c r="B58" s="6" t="s">
        <v>39</v>
      </c>
      <c r="C58" s="6" t="s">
        <v>44</v>
      </c>
      <c r="D58" s="17" t="s">
        <v>47</v>
      </c>
      <c r="E58" s="8">
        <v>497</v>
      </c>
      <c r="F58" s="8">
        <v>2</v>
      </c>
      <c r="G58" s="8">
        <v>6</v>
      </c>
      <c r="H58" s="6" t="s">
        <v>57</v>
      </c>
      <c r="I58" s="6">
        <v>89.8</v>
      </c>
      <c r="J58" s="6" t="str">
        <f>IF(tblProduction[[#This Row],[Downtime_Min]]&gt;Helper_Calculations!$B$4, "High", IF(tblProduction[[#This Row],[Downtime_Min]]&lt;Helper_Calculations!$B$3,"low","Medium"))</f>
        <v>low</v>
      </c>
      <c r="K58" s="42">
        <f>VLOOKUP(tblProduction[[#This Row],[Product_Type]],Defect_Table,4,FALSE)</f>
        <v>2.5486680327868851E-2</v>
      </c>
      <c r="L58" s="44">
        <f>VLOOKUP(tblProduction[[#This Row],[Line_ID]],Efficiency_Table,2,FALSE)</f>
        <v>83.481999999999985</v>
      </c>
    </row>
    <row r="59" spans="1:12" x14ac:dyDescent="0.2">
      <c r="A59" s="7" t="s">
        <v>15</v>
      </c>
      <c r="B59" s="6" t="s">
        <v>40</v>
      </c>
      <c r="C59" s="6" t="s">
        <v>42</v>
      </c>
      <c r="D59" s="17" t="s">
        <v>47</v>
      </c>
      <c r="E59" s="8">
        <v>311</v>
      </c>
      <c r="F59" s="8">
        <v>19</v>
      </c>
      <c r="G59" s="8">
        <v>59</v>
      </c>
      <c r="H59" s="6" t="s">
        <v>57</v>
      </c>
      <c r="I59" s="6">
        <v>77.819999999999993</v>
      </c>
      <c r="J59" s="6" t="str">
        <f>IF(tblProduction[[#This Row],[Downtime_Min]]&gt;Helper_Calculations!$B$4, "High", IF(tblProduction[[#This Row],[Downtime_Min]]&lt;Helper_Calculations!$B$3,"low","Medium"))</f>
        <v>High</v>
      </c>
      <c r="K59" s="42">
        <f>VLOOKUP(tblProduction[[#This Row],[Product_Type]],Defect_Table,4,FALSE)</f>
        <v>2.5486680327868851E-2</v>
      </c>
      <c r="L59" s="44">
        <f>VLOOKUP(tblProduction[[#This Row],[Line_ID]],Efficiency_Table,2,FALSE)</f>
        <v>84.103777777777793</v>
      </c>
    </row>
    <row r="60" spans="1:12" x14ac:dyDescent="0.2">
      <c r="A60" s="7" t="s">
        <v>15</v>
      </c>
      <c r="B60" s="6" t="s">
        <v>40</v>
      </c>
      <c r="C60" s="6" t="s">
        <v>43</v>
      </c>
      <c r="D60" s="17" t="s">
        <v>45</v>
      </c>
      <c r="E60" s="8">
        <v>453</v>
      </c>
      <c r="F60" s="8">
        <v>11</v>
      </c>
      <c r="G60" s="8">
        <v>4</v>
      </c>
      <c r="H60" s="6" t="s">
        <v>57</v>
      </c>
      <c r="I60" s="6">
        <v>97.01</v>
      </c>
      <c r="J60" s="6" t="str">
        <f>IF(tblProduction[[#This Row],[Downtime_Min]]&gt;Helper_Calculations!$B$4, "High", IF(tblProduction[[#This Row],[Downtime_Min]]&lt;Helper_Calculations!$B$3,"low","Medium"))</f>
        <v>low</v>
      </c>
      <c r="K60" s="42">
        <f>VLOOKUP(tblProduction[[#This Row],[Product_Type]],Defect_Table,4,FALSE)</f>
        <v>2.6075502200401161E-2</v>
      </c>
      <c r="L60" s="44">
        <f>VLOOKUP(tblProduction[[#This Row],[Line_ID]],Efficiency_Table,2,FALSE)</f>
        <v>84.346333333333348</v>
      </c>
    </row>
    <row r="61" spans="1:12" x14ac:dyDescent="0.2">
      <c r="A61" s="7" t="s">
        <v>15</v>
      </c>
      <c r="B61" s="6" t="s">
        <v>40</v>
      </c>
      <c r="C61" s="6" t="s">
        <v>44</v>
      </c>
      <c r="D61" s="17" t="s">
        <v>46</v>
      </c>
      <c r="E61" s="8">
        <v>208</v>
      </c>
      <c r="F61" s="8">
        <v>8</v>
      </c>
      <c r="G61" s="8">
        <v>34</v>
      </c>
      <c r="H61" s="6" t="s">
        <v>57</v>
      </c>
      <c r="I61" s="6">
        <v>91.01</v>
      </c>
      <c r="J61" s="6" t="str">
        <f>IF(tblProduction[[#This Row],[Downtime_Min]]&gt;Helper_Calculations!$B$4, "High", IF(tblProduction[[#This Row],[Downtime_Min]]&lt;Helper_Calculations!$B$3,"low","Medium"))</f>
        <v>Medium</v>
      </c>
      <c r="K61" s="42">
        <f>VLOOKUP(tblProduction[[#This Row],[Product_Type]],Defect_Table,4,FALSE)</f>
        <v>2.230142566191446E-2</v>
      </c>
      <c r="L61" s="44">
        <f>VLOOKUP(tblProduction[[#This Row],[Line_ID]],Efficiency_Table,2,FALSE)</f>
        <v>83.481999999999985</v>
      </c>
    </row>
    <row r="62" spans="1:12" x14ac:dyDescent="0.2">
      <c r="A62" s="7" t="s">
        <v>15</v>
      </c>
      <c r="B62" s="6" t="s">
        <v>41</v>
      </c>
      <c r="C62" s="6" t="s">
        <v>42</v>
      </c>
      <c r="D62" s="17" t="s">
        <v>46</v>
      </c>
      <c r="E62" s="8">
        <v>407</v>
      </c>
      <c r="F62" s="8">
        <v>2</v>
      </c>
      <c r="G62" s="8">
        <v>19</v>
      </c>
      <c r="H62" s="6" t="s">
        <v>55</v>
      </c>
      <c r="I62" s="6">
        <v>96.61</v>
      </c>
      <c r="J62" s="6" t="str">
        <f>IF(tblProduction[[#This Row],[Downtime_Min]]&gt;Helper_Calculations!$B$4, "High", IF(tblProduction[[#This Row],[Downtime_Min]]&lt;Helper_Calculations!$B$3,"low","Medium"))</f>
        <v>Medium</v>
      </c>
      <c r="K62" s="42">
        <f>VLOOKUP(tblProduction[[#This Row],[Product_Type]],Defect_Table,4,FALSE)</f>
        <v>2.230142566191446E-2</v>
      </c>
      <c r="L62" s="44">
        <f>VLOOKUP(tblProduction[[#This Row],[Line_ID]],Efficiency_Table,2,FALSE)</f>
        <v>84.103777777777793</v>
      </c>
    </row>
    <row r="63" spans="1:12" x14ac:dyDescent="0.2">
      <c r="A63" s="7" t="s">
        <v>15</v>
      </c>
      <c r="B63" s="6" t="s">
        <v>41</v>
      </c>
      <c r="C63" s="6" t="s">
        <v>43</v>
      </c>
      <c r="D63" s="17" t="s">
        <v>46</v>
      </c>
      <c r="E63" s="8">
        <v>319</v>
      </c>
      <c r="F63" s="8">
        <v>0</v>
      </c>
      <c r="G63" s="8">
        <v>23</v>
      </c>
      <c r="H63" s="6" t="s">
        <v>55</v>
      </c>
      <c r="I63" s="6">
        <v>95.53</v>
      </c>
      <c r="J63" s="6" t="str">
        <f>IF(tblProduction[[#This Row],[Downtime_Min]]&gt;Helper_Calculations!$B$4, "High", IF(tblProduction[[#This Row],[Downtime_Min]]&lt;Helper_Calculations!$B$3,"low","Medium"))</f>
        <v>Medium</v>
      </c>
      <c r="K63" s="42">
        <f>VLOOKUP(tblProduction[[#This Row],[Product_Type]],Defect_Table,4,FALSE)</f>
        <v>2.230142566191446E-2</v>
      </c>
      <c r="L63" s="44">
        <f>VLOOKUP(tblProduction[[#This Row],[Line_ID]],Efficiency_Table,2,FALSE)</f>
        <v>84.346333333333348</v>
      </c>
    </row>
    <row r="64" spans="1:12" x14ac:dyDescent="0.2">
      <c r="A64" s="7" t="s">
        <v>15</v>
      </c>
      <c r="B64" s="6" t="s">
        <v>41</v>
      </c>
      <c r="C64" s="6" t="s">
        <v>44</v>
      </c>
      <c r="D64" s="17" t="s">
        <v>47</v>
      </c>
      <c r="E64" s="8">
        <v>312</v>
      </c>
      <c r="F64" s="8">
        <v>7</v>
      </c>
      <c r="G64" s="8">
        <v>35</v>
      </c>
      <c r="H64" s="6" t="s">
        <v>48</v>
      </c>
      <c r="I64" s="6">
        <v>96.96</v>
      </c>
      <c r="J64" s="6" t="str">
        <f>IF(tblProduction[[#This Row],[Downtime_Min]]&gt;Helper_Calculations!$B$4, "High", IF(tblProduction[[#This Row],[Downtime_Min]]&lt;Helper_Calculations!$B$3,"low","Medium"))</f>
        <v>Medium</v>
      </c>
      <c r="K64" s="42">
        <f>VLOOKUP(tblProduction[[#This Row],[Product_Type]],Defect_Table,4,FALSE)</f>
        <v>2.5486680327868851E-2</v>
      </c>
      <c r="L64" s="44">
        <f>VLOOKUP(tblProduction[[#This Row],[Line_ID]],Efficiency_Table,2,FALSE)</f>
        <v>83.481999999999985</v>
      </c>
    </row>
    <row r="65" spans="1:12" x14ac:dyDescent="0.2">
      <c r="A65" s="7" t="s">
        <v>16</v>
      </c>
      <c r="B65" s="6" t="s">
        <v>39</v>
      </c>
      <c r="C65" s="6" t="s">
        <v>42</v>
      </c>
      <c r="D65" s="17" t="s">
        <v>47</v>
      </c>
      <c r="E65" s="8">
        <v>453</v>
      </c>
      <c r="F65" s="8">
        <v>2</v>
      </c>
      <c r="G65" s="8">
        <v>47</v>
      </c>
      <c r="H65" s="6" t="s">
        <v>57</v>
      </c>
      <c r="I65" s="6">
        <v>73.040000000000006</v>
      </c>
      <c r="J65" s="6" t="str">
        <f>IF(tblProduction[[#This Row],[Downtime_Min]]&gt;Helper_Calculations!$B$4, "High", IF(tblProduction[[#This Row],[Downtime_Min]]&lt;Helper_Calculations!$B$3,"low","Medium"))</f>
        <v>Medium</v>
      </c>
      <c r="K65" s="42">
        <f>VLOOKUP(tblProduction[[#This Row],[Product_Type]],Defect_Table,4,FALSE)</f>
        <v>2.5486680327868851E-2</v>
      </c>
      <c r="L65" s="44">
        <f>VLOOKUP(tblProduction[[#This Row],[Line_ID]],Efficiency_Table,2,FALSE)</f>
        <v>84.103777777777793</v>
      </c>
    </row>
    <row r="66" spans="1:12" x14ac:dyDescent="0.2">
      <c r="A66" s="7" t="s">
        <v>16</v>
      </c>
      <c r="B66" s="6" t="s">
        <v>39</v>
      </c>
      <c r="C66" s="6" t="s">
        <v>43</v>
      </c>
      <c r="D66" s="17" t="s">
        <v>46</v>
      </c>
      <c r="E66" s="8">
        <v>298</v>
      </c>
      <c r="F66" s="8">
        <v>17</v>
      </c>
      <c r="G66" s="8">
        <v>45</v>
      </c>
      <c r="H66" s="6" t="s">
        <v>50</v>
      </c>
      <c r="I66" s="6">
        <v>86.46</v>
      </c>
      <c r="J66" s="6" t="str">
        <f>IF(tblProduction[[#This Row],[Downtime_Min]]&gt;Helper_Calculations!$B$4, "High", IF(tblProduction[[#This Row],[Downtime_Min]]&lt;Helper_Calculations!$B$3,"low","Medium"))</f>
        <v>Medium</v>
      </c>
      <c r="K66" s="42">
        <f>VLOOKUP(tblProduction[[#This Row],[Product_Type]],Defect_Table,4,FALSE)</f>
        <v>2.230142566191446E-2</v>
      </c>
      <c r="L66" s="44">
        <f>VLOOKUP(tblProduction[[#This Row],[Line_ID]],Efficiency_Table,2,FALSE)</f>
        <v>84.346333333333348</v>
      </c>
    </row>
    <row r="67" spans="1:12" x14ac:dyDescent="0.2">
      <c r="A67" s="7" t="s">
        <v>16</v>
      </c>
      <c r="B67" s="6" t="s">
        <v>39</v>
      </c>
      <c r="C67" s="6" t="s">
        <v>44</v>
      </c>
      <c r="D67" s="17" t="s">
        <v>45</v>
      </c>
      <c r="E67" s="8">
        <v>362</v>
      </c>
      <c r="F67" s="8">
        <v>15</v>
      </c>
      <c r="G67" s="8">
        <v>40</v>
      </c>
      <c r="H67" s="6" t="s">
        <v>57</v>
      </c>
      <c r="I67" s="6">
        <v>75.28</v>
      </c>
      <c r="J67" s="6" t="str">
        <f>IF(tblProduction[[#This Row],[Downtime_Min]]&gt;Helper_Calculations!$B$4, "High", IF(tblProduction[[#This Row],[Downtime_Min]]&lt;Helper_Calculations!$B$3,"low","Medium"))</f>
        <v>Medium</v>
      </c>
      <c r="K67" s="42">
        <f>VLOOKUP(tblProduction[[#This Row],[Product_Type]],Defect_Table,4,FALSE)</f>
        <v>2.6075502200401161E-2</v>
      </c>
      <c r="L67" s="44">
        <f>VLOOKUP(tblProduction[[#This Row],[Line_ID]],Efficiency_Table,2,FALSE)</f>
        <v>83.481999999999985</v>
      </c>
    </row>
    <row r="68" spans="1:12" x14ac:dyDescent="0.2">
      <c r="A68" s="7" t="s">
        <v>16</v>
      </c>
      <c r="B68" s="6" t="s">
        <v>40</v>
      </c>
      <c r="C68" s="6" t="s">
        <v>42</v>
      </c>
      <c r="D68" s="17" t="s">
        <v>47</v>
      </c>
      <c r="E68" s="8">
        <v>267</v>
      </c>
      <c r="F68" s="8">
        <v>0</v>
      </c>
      <c r="G68" s="8">
        <v>13</v>
      </c>
      <c r="H68" s="6" t="s">
        <v>56</v>
      </c>
      <c r="I68" s="6">
        <v>79.760000000000005</v>
      </c>
      <c r="J68" s="6" t="str">
        <f>IF(tblProduction[[#This Row],[Downtime_Min]]&gt;Helper_Calculations!$B$4, "High", IF(tblProduction[[#This Row],[Downtime_Min]]&lt;Helper_Calculations!$B$3,"low","Medium"))</f>
        <v>low</v>
      </c>
      <c r="K68" s="42">
        <f>VLOOKUP(tblProduction[[#This Row],[Product_Type]],Defect_Table,4,FALSE)</f>
        <v>2.5486680327868851E-2</v>
      </c>
      <c r="L68" s="44">
        <f>VLOOKUP(tblProduction[[#This Row],[Line_ID]],Efficiency_Table,2,FALSE)</f>
        <v>84.103777777777793</v>
      </c>
    </row>
    <row r="69" spans="1:12" x14ac:dyDescent="0.2">
      <c r="A69" s="7" t="s">
        <v>16</v>
      </c>
      <c r="B69" s="6" t="s">
        <v>40</v>
      </c>
      <c r="C69" s="6" t="s">
        <v>43</v>
      </c>
      <c r="D69" s="17" t="s">
        <v>47</v>
      </c>
      <c r="E69" s="8">
        <v>334</v>
      </c>
      <c r="F69" s="8">
        <v>2</v>
      </c>
      <c r="G69" s="8">
        <v>16</v>
      </c>
      <c r="H69" s="6" t="s">
        <v>56</v>
      </c>
      <c r="I69" s="6">
        <v>79.239999999999995</v>
      </c>
      <c r="J69" s="6" t="str">
        <f>IF(tblProduction[[#This Row],[Downtime_Min]]&gt;Helper_Calculations!$B$4, "High", IF(tblProduction[[#This Row],[Downtime_Min]]&lt;Helper_Calculations!$B$3,"low","Medium"))</f>
        <v>low</v>
      </c>
      <c r="K69" s="42">
        <f>VLOOKUP(tblProduction[[#This Row],[Product_Type]],Defect_Table,4,FALSE)</f>
        <v>2.5486680327868851E-2</v>
      </c>
      <c r="L69" s="44">
        <f>VLOOKUP(tblProduction[[#This Row],[Line_ID]],Efficiency_Table,2,FALSE)</f>
        <v>84.346333333333348</v>
      </c>
    </row>
    <row r="70" spans="1:12" x14ac:dyDescent="0.2">
      <c r="A70" s="7" t="s">
        <v>16</v>
      </c>
      <c r="B70" s="6" t="s">
        <v>40</v>
      </c>
      <c r="C70" s="6" t="s">
        <v>44</v>
      </c>
      <c r="D70" s="17" t="s">
        <v>45</v>
      </c>
      <c r="E70" s="8">
        <v>375</v>
      </c>
      <c r="F70" s="8">
        <v>11</v>
      </c>
      <c r="G70" s="8">
        <v>58</v>
      </c>
      <c r="H70" s="6" t="s">
        <v>48</v>
      </c>
      <c r="I70" s="6">
        <v>81.03</v>
      </c>
      <c r="J70" s="6" t="str">
        <f>IF(tblProduction[[#This Row],[Downtime_Min]]&gt;Helper_Calculations!$B$4, "High", IF(tblProduction[[#This Row],[Downtime_Min]]&lt;Helper_Calculations!$B$3,"low","Medium"))</f>
        <v>High</v>
      </c>
      <c r="K70" s="42">
        <f>VLOOKUP(tblProduction[[#This Row],[Product_Type]],Defect_Table,4,FALSE)</f>
        <v>2.6075502200401161E-2</v>
      </c>
      <c r="L70" s="44">
        <f>VLOOKUP(tblProduction[[#This Row],[Line_ID]],Efficiency_Table,2,FALSE)</f>
        <v>83.481999999999985</v>
      </c>
    </row>
    <row r="71" spans="1:12" x14ac:dyDescent="0.2">
      <c r="A71" s="7" t="s">
        <v>16</v>
      </c>
      <c r="B71" s="6" t="s">
        <v>41</v>
      </c>
      <c r="C71" s="6" t="s">
        <v>42</v>
      </c>
      <c r="D71" s="17" t="s">
        <v>46</v>
      </c>
      <c r="E71" s="8">
        <v>221</v>
      </c>
      <c r="F71" s="8">
        <v>13</v>
      </c>
      <c r="G71" s="8">
        <v>29</v>
      </c>
      <c r="H71" s="6" t="s">
        <v>56</v>
      </c>
      <c r="I71" s="6">
        <v>99.19</v>
      </c>
      <c r="J71" s="6" t="str">
        <f>IF(tblProduction[[#This Row],[Downtime_Min]]&gt;Helper_Calculations!$B$4, "High", IF(tblProduction[[#This Row],[Downtime_Min]]&lt;Helper_Calculations!$B$3,"low","Medium"))</f>
        <v>Medium</v>
      </c>
      <c r="K71" s="42">
        <f>VLOOKUP(tblProduction[[#This Row],[Product_Type]],Defect_Table,4,FALSE)</f>
        <v>2.230142566191446E-2</v>
      </c>
      <c r="L71" s="44">
        <f>VLOOKUP(tblProduction[[#This Row],[Line_ID]],Efficiency_Table,2,FALSE)</f>
        <v>84.103777777777793</v>
      </c>
    </row>
    <row r="72" spans="1:12" x14ac:dyDescent="0.2">
      <c r="A72" s="7" t="s">
        <v>16</v>
      </c>
      <c r="B72" s="6" t="s">
        <v>41</v>
      </c>
      <c r="C72" s="6" t="s">
        <v>43</v>
      </c>
      <c r="D72" s="17" t="s">
        <v>46</v>
      </c>
      <c r="E72" s="8">
        <v>250</v>
      </c>
      <c r="F72" s="8">
        <v>7</v>
      </c>
      <c r="G72" s="8">
        <v>26</v>
      </c>
      <c r="H72" s="6" t="s">
        <v>53</v>
      </c>
      <c r="I72" s="6">
        <v>83.03</v>
      </c>
      <c r="J72" s="6" t="str">
        <f>IF(tblProduction[[#This Row],[Downtime_Min]]&gt;Helper_Calculations!$B$4, "High", IF(tblProduction[[#This Row],[Downtime_Min]]&lt;Helper_Calculations!$B$3,"low","Medium"))</f>
        <v>Medium</v>
      </c>
      <c r="K72" s="42">
        <f>VLOOKUP(tblProduction[[#This Row],[Product_Type]],Defect_Table,4,FALSE)</f>
        <v>2.230142566191446E-2</v>
      </c>
      <c r="L72" s="44">
        <f>VLOOKUP(tblProduction[[#This Row],[Line_ID]],Efficiency_Table,2,FALSE)</f>
        <v>84.346333333333348</v>
      </c>
    </row>
    <row r="73" spans="1:12" x14ac:dyDescent="0.2">
      <c r="A73" s="7" t="s">
        <v>16</v>
      </c>
      <c r="B73" s="6" t="s">
        <v>41</v>
      </c>
      <c r="C73" s="6" t="s">
        <v>44</v>
      </c>
      <c r="D73" s="17" t="s">
        <v>45</v>
      </c>
      <c r="E73" s="8">
        <v>476</v>
      </c>
      <c r="F73" s="8">
        <v>0</v>
      </c>
      <c r="G73" s="8">
        <v>27</v>
      </c>
      <c r="H73" s="6" t="s">
        <v>53</v>
      </c>
      <c r="I73" s="6">
        <v>90.07</v>
      </c>
      <c r="J73" s="6" t="str">
        <f>IF(tblProduction[[#This Row],[Downtime_Min]]&gt;Helper_Calculations!$B$4, "High", IF(tblProduction[[#This Row],[Downtime_Min]]&lt;Helper_Calculations!$B$3,"low","Medium"))</f>
        <v>Medium</v>
      </c>
      <c r="K73" s="42">
        <f>VLOOKUP(tblProduction[[#This Row],[Product_Type]],Defect_Table,4,FALSE)</f>
        <v>2.6075502200401161E-2</v>
      </c>
      <c r="L73" s="44">
        <f>VLOOKUP(tblProduction[[#This Row],[Line_ID]],Efficiency_Table,2,FALSE)</f>
        <v>83.481999999999985</v>
      </c>
    </row>
    <row r="74" spans="1:12" x14ac:dyDescent="0.2">
      <c r="A74" s="7" t="s">
        <v>17</v>
      </c>
      <c r="B74" s="6" t="s">
        <v>39</v>
      </c>
      <c r="C74" s="6" t="s">
        <v>42</v>
      </c>
      <c r="D74" s="17" t="s">
        <v>45</v>
      </c>
      <c r="E74" s="8">
        <v>346</v>
      </c>
      <c r="F74" s="8">
        <v>3</v>
      </c>
      <c r="G74" s="8">
        <v>34</v>
      </c>
      <c r="H74" s="6" t="s">
        <v>52</v>
      </c>
      <c r="I74" s="6">
        <v>93.06</v>
      </c>
      <c r="J74" s="6" t="str">
        <f>IF(tblProduction[[#This Row],[Downtime_Min]]&gt;Helper_Calculations!$B$4, "High", IF(tblProduction[[#This Row],[Downtime_Min]]&lt;Helper_Calculations!$B$3,"low","Medium"))</f>
        <v>Medium</v>
      </c>
      <c r="K74" s="42">
        <f>VLOOKUP(tblProduction[[#This Row],[Product_Type]],Defect_Table,4,FALSE)</f>
        <v>2.6075502200401161E-2</v>
      </c>
      <c r="L74" s="44">
        <f>VLOOKUP(tblProduction[[#This Row],[Line_ID]],Efficiency_Table,2,FALSE)</f>
        <v>84.103777777777793</v>
      </c>
    </row>
    <row r="75" spans="1:12" x14ac:dyDescent="0.2">
      <c r="A75" s="7" t="s">
        <v>17</v>
      </c>
      <c r="B75" s="6" t="s">
        <v>39</v>
      </c>
      <c r="C75" s="6" t="s">
        <v>43</v>
      </c>
      <c r="D75" s="17" t="s">
        <v>46</v>
      </c>
      <c r="E75" s="8">
        <v>216</v>
      </c>
      <c r="F75" s="8">
        <v>11</v>
      </c>
      <c r="G75" s="8">
        <v>27</v>
      </c>
      <c r="H75" s="6" t="s">
        <v>57</v>
      </c>
      <c r="I75" s="6">
        <v>84.1</v>
      </c>
      <c r="J75" s="6" t="str">
        <f>IF(tblProduction[[#This Row],[Downtime_Min]]&gt;Helper_Calculations!$B$4, "High", IF(tblProduction[[#This Row],[Downtime_Min]]&lt;Helper_Calculations!$B$3,"low","Medium"))</f>
        <v>Medium</v>
      </c>
      <c r="K75" s="42">
        <f>VLOOKUP(tblProduction[[#This Row],[Product_Type]],Defect_Table,4,FALSE)</f>
        <v>2.230142566191446E-2</v>
      </c>
      <c r="L75" s="44">
        <f>VLOOKUP(tblProduction[[#This Row],[Line_ID]],Efficiency_Table,2,FALSE)</f>
        <v>84.346333333333348</v>
      </c>
    </row>
    <row r="76" spans="1:12" x14ac:dyDescent="0.2">
      <c r="A76" s="7" t="s">
        <v>17</v>
      </c>
      <c r="B76" s="6" t="s">
        <v>39</v>
      </c>
      <c r="C76" s="6" t="s">
        <v>44</v>
      </c>
      <c r="D76" s="17" t="s">
        <v>47</v>
      </c>
      <c r="E76" s="8">
        <v>245</v>
      </c>
      <c r="F76" s="8">
        <v>5</v>
      </c>
      <c r="G76" s="8">
        <v>34</v>
      </c>
      <c r="H76" s="6" t="s">
        <v>53</v>
      </c>
      <c r="I76" s="6">
        <v>92.43</v>
      </c>
      <c r="J76" s="6" t="str">
        <f>IF(tblProduction[[#This Row],[Downtime_Min]]&gt;Helper_Calculations!$B$4, "High", IF(tblProduction[[#This Row],[Downtime_Min]]&lt;Helper_Calculations!$B$3,"low","Medium"))</f>
        <v>Medium</v>
      </c>
      <c r="K76" s="42">
        <f>VLOOKUP(tblProduction[[#This Row],[Product_Type]],Defect_Table,4,FALSE)</f>
        <v>2.5486680327868851E-2</v>
      </c>
      <c r="L76" s="44">
        <f>VLOOKUP(tblProduction[[#This Row],[Line_ID]],Efficiency_Table,2,FALSE)</f>
        <v>83.481999999999985</v>
      </c>
    </row>
    <row r="77" spans="1:12" x14ac:dyDescent="0.2">
      <c r="A77" s="7" t="s">
        <v>17</v>
      </c>
      <c r="B77" s="6" t="s">
        <v>40</v>
      </c>
      <c r="C77" s="6" t="s">
        <v>42</v>
      </c>
      <c r="D77" s="17" t="s">
        <v>47</v>
      </c>
      <c r="E77" s="8">
        <v>236</v>
      </c>
      <c r="F77" s="8">
        <v>16</v>
      </c>
      <c r="G77" s="8">
        <v>45</v>
      </c>
      <c r="H77" s="6" t="s">
        <v>48</v>
      </c>
      <c r="I77" s="6">
        <v>99</v>
      </c>
      <c r="J77" s="6" t="str">
        <f>IF(tblProduction[[#This Row],[Downtime_Min]]&gt;Helper_Calculations!$B$4, "High", IF(tblProduction[[#This Row],[Downtime_Min]]&lt;Helper_Calculations!$B$3,"low","Medium"))</f>
        <v>Medium</v>
      </c>
      <c r="K77" s="42">
        <f>VLOOKUP(tblProduction[[#This Row],[Product_Type]],Defect_Table,4,FALSE)</f>
        <v>2.5486680327868851E-2</v>
      </c>
      <c r="L77" s="44">
        <f>VLOOKUP(tblProduction[[#This Row],[Line_ID]],Efficiency_Table,2,FALSE)</f>
        <v>84.103777777777793</v>
      </c>
    </row>
    <row r="78" spans="1:12" x14ac:dyDescent="0.2">
      <c r="A78" s="7" t="s">
        <v>17</v>
      </c>
      <c r="B78" s="6" t="s">
        <v>40</v>
      </c>
      <c r="C78" s="6" t="s">
        <v>43</v>
      </c>
      <c r="D78" s="17" t="s">
        <v>45</v>
      </c>
      <c r="E78" s="8">
        <v>298</v>
      </c>
      <c r="F78" s="8">
        <v>0</v>
      </c>
      <c r="G78" s="8">
        <v>51</v>
      </c>
      <c r="H78" s="6" t="s">
        <v>57</v>
      </c>
      <c r="I78" s="6">
        <v>78.83</v>
      </c>
      <c r="J78" s="6" t="str">
        <f>IF(tblProduction[[#This Row],[Downtime_Min]]&gt;Helper_Calculations!$B$4, "High", IF(tblProduction[[#This Row],[Downtime_Min]]&lt;Helper_Calculations!$B$3,"low","Medium"))</f>
        <v>High</v>
      </c>
      <c r="K78" s="42">
        <f>VLOOKUP(tblProduction[[#This Row],[Product_Type]],Defect_Table,4,FALSE)</f>
        <v>2.6075502200401161E-2</v>
      </c>
      <c r="L78" s="44">
        <f>VLOOKUP(tblProduction[[#This Row],[Line_ID]],Efficiency_Table,2,FALSE)</f>
        <v>84.346333333333348</v>
      </c>
    </row>
    <row r="79" spans="1:12" x14ac:dyDescent="0.2">
      <c r="A79" s="7" t="s">
        <v>17</v>
      </c>
      <c r="B79" s="6" t="s">
        <v>40</v>
      </c>
      <c r="C79" s="6" t="s">
        <v>44</v>
      </c>
      <c r="D79" s="17" t="s">
        <v>45</v>
      </c>
      <c r="E79" s="8">
        <v>360</v>
      </c>
      <c r="F79" s="8">
        <v>2</v>
      </c>
      <c r="G79" s="8">
        <v>17</v>
      </c>
      <c r="H79" s="6" t="s">
        <v>49</v>
      </c>
      <c r="I79" s="6">
        <v>86.7</v>
      </c>
      <c r="J79" s="6" t="str">
        <f>IF(tblProduction[[#This Row],[Downtime_Min]]&gt;Helper_Calculations!$B$4, "High", IF(tblProduction[[#This Row],[Downtime_Min]]&lt;Helper_Calculations!$B$3,"low","Medium"))</f>
        <v>low</v>
      </c>
      <c r="K79" s="42">
        <f>VLOOKUP(tblProduction[[#This Row],[Product_Type]],Defect_Table,4,FALSE)</f>
        <v>2.6075502200401161E-2</v>
      </c>
      <c r="L79" s="44">
        <f>VLOOKUP(tblProduction[[#This Row],[Line_ID]],Efficiency_Table,2,FALSE)</f>
        <v>83.481999999999985</v>
      </c>
    </row>
    <row r="80" spans="1:12" x14ac:dyDescent="0.2">
      <c r="A80" s="7" t="s">
        <v>17</v>
      </c>
      <c r="B80" s="6" t="s">
        <v>41</v>
      </c>
      <c r="C80" s="6" t="s">
        <v>42</v>
      </c>
      <c r="D80" s="17" t="s">
        <v>45</v>
      </c>
      <c r="E80" s="8">
        <v>422</v>
      </c>
      <c r="F80" s="8">
        <v>2</v>
      </c>
      <c r="G80" s="8">
        <v>39</v>
      </c>
      <c r="H80" s="6" t="s">
        <v>54</v>
      </c>
      <c r="I80" s="6">
        <v>72.11</v>
      </c>
      <c r="J80" s="6" t="str">
        <f>IF(tblProduction[[#This Row],[Downtime_Min]]&gt;Helper_Calculations!$B$4, "High", IF(tblProduction[[#This Row],[Downtime_Min]]&lt;Helper_Calculations!$B$3,"low","Medium"))</f>
        <v>Medium</v>
      </c>
      <c r="K80" s="42">
        <f>VLOOKUP(tblProduction[[#This Row],[Product_Type]],Defect_Table,4,FALSE)</f>
        <v>2.6075502200401161E-2</v>
      </c>
      <c r="L80" s="44">
        <f>VLOOKUP(tblProduction[[#This Row],[Line_ID]],Efficiency_Table,2,FALSE)</f>
        <v>84.103777777777793</v>
      </c>
    </row>
    <row r="81" spans="1:12" x14ac:dyDescent="0.2">
      <c r="A81" s="7" t="s">
        <v>17</v>
      </c>
      <c r="B81" s="6" t="s">
        <v>41</v>
      </c>
      <c r="C81" s="6" t="s">
        <v>43</v>
      </c>
      <c r="D81" s="17" t="s">
        <v>47</v>
      </c>
      <c r="E81" s="8">
        <v>313</v>
      </c>
      <c r="F81" s="8">
        <v>14</v>
      </c>
      <c r="G81" s="8">
        <v>21</v>
      </c>
      <c r="H81" s="6" t="s">
        <v>55</v>
      </c>
      <c r="I81" s="6">
        <v>80.760000000000005</v>
      </c>
      <c r="J81" s="6" t="str">
        <f>IF(tblProduction[[#This Row],[Downtime_Min]]&gt;Helper_Calculations!$B$4, "High", IF(tblProduction[[#This Row],[Downtime_Min]]&lt;Helper_Calculations!$B$3,"low","Medium"))</f>
        <v>Medium</v>
      </c>
      <c r="K81" s="42">
        <f>VLOOKUP(tblProduction[[#This Row],[Product_Type]],Defect_Table,4,FALSE)</f>
        <v>2.5486680327868851E-2</v>
      </c>
      <c r="L81" s="44">
        <f>VLOOKUP(tblProduction[[#This Row],[Line_ID]],Efficiency_Table,2,FALSE)</f>
        <v>84.346333333333348</v>
      </c>
    </row>
    <row r="82" spans="1:12" x14ac:dyDescent="0.2">
      <c r="A82" s="7" t="s">
        <v>17</v>
      </c>
      <c r="B82" s="6" t="s">
        <v>41</v>
      </c>
      <c r="C82" s="6" t="s">
        <v>44</v>
      </c>
      <c r="D82" s="17" t="s">
        <v>46</v>
      </c>
      <c r="E82" s="8">
        <v>326</v>
      </c>
      <c r="F82" s="8">
        <v>9</v>
      </c>
      <c r="G82" s="8">
        <v>1</v>
      </c>
      <c r="H82" s="6" t="s">
        <v>56</v>
      </c>
      <c r="I82" s="6">
        <v>79.680000000000007</v>
      </c>
      <c r="J82" s="6" t="str">
        <f>IF(tblProduction[[#This Row],[Downtime_Min]]&gt;Helper_Calculations!$B$4, "High", IF(tblProduction[[#This Row],[Downtime_Min]]&lt;Helper_Calculations!$B$3,"low","Medium"))</f>
        <v>low</v>
      </c>
      <c r="K82" s="42">
        <f>VLOOKUP(tblProduction[[#This Row],[Product_Type]],Defect_Table,4,FALSE)</f>
        <v>2.230142566191446E-2</v>
      </c>
      <c r="L82" s="44">
        <f>VLOOKUP(tblProduction[[#This Row],[Line_ID]],Efficiency_Table,2,FALSE)</f>
        <v>83.481999999999985</v>
      </c>
    </row>
    <row r="83" spans="1:12" x14ac:dyDescent="0.2">
      <c r="A83" s="7" t="s">
        <v>18</v>
      </c>
      <c r="B83" s="6" t="s">
        <v>39</v>
      </c>
      <c r="C83" s="6" t="s">
        <v>42</v>
      </c>
      <c r="D83" s="17" t="s">
        <v>45</v>
      </c>
      <c r="E83" s="8">
        <v>303</v>
      </c>
      <c r="F83" s="8">
        <v>0</v>
      </c>
      <c r="G83" s="8">
        <v>8</v>
      </c>
      <c r="H83" s="6" t="s">
        <v>54</v>
      </c>
      <c r="I83" s="6">
        <v>91.07</v>
      </c>
      <c r="J83" s="6" t="str">
        <f>IF(tblProduction[[#This Row],[Downtime_Min]]&gt;Helper_Calculations!$B$4, "High", IF(tblProduction[[#This Row],[Downtime_Min]]&lt;Helper_Calculations!$B$3,"low","Medium"))</f>
        <v>low</v>
      </c>
      <c r="K83" s="42">
        <f>VLOOKUP(tblProduction[[#This Row],[Product_Type]],Defect_Table,4,FALSE)</f>
        <v>2.6075502200401161E-2</v>
      </c>
      <c r="L83" s="44">
        <f>VLOOKUP(tblProduction[[#This Row],[Line_ID]],Efficiency_Table,2,FALSE)</f>
        <v>84.103777777777793</v>
      </c>
    </row>
    <row r="84" spans="1:12" x14ac:dyDescent="0.2">
      <c r="A84" s="7" t="s">
        <v>18</v>
      </c>
      <c r="B84" s="6" t="s">
        <v>39</v>
      </c>
      <c r="C84" s="6" t="s">
        <v>43</v>
      </c>
      <c r="D84" s="17" t="s">
        <v>46</v>
      </c>
      <c r="E84" s="8">
        <v>375</v>
      </c>
      <c r="F84" s="8">
        <v>6</v>
      </c>
      <c r="G84" s="8">
        <v>28</v>
      </c>
      <c r="H84" s="6" t="s">
        <v>52</v>
      </c>
      <c r="I84" s="6">
        <v>78.900000000000006</v>
      </c>
      <c r="J84" s="6" t="str">
        <f>IF(tblProduction[[#This Row],[Downtime_Min]]&gt;Helper_Calculations!$B$4, "High", IF(tblProduction[[#This Row],[Downtime_Min]]&lt;Helper_Calculations!$B$3,"low","Medium"))</f>
        <v>Medium</v>
      </c>
      <c r="K84" s="42">
        <f>VLOOKUP(tblProduction[[#This Row],[Product_Type]],Defect_Table,4,FALSE)</f>
        <v>2.230142566191446E-2</v>
      </c>
      <c r="L84" s="44">
        <f>VLOOKUP(tblProduction[[#This Row],[Line_ID]],Efficiency_Table,2,FALSE)</f>
        <v>84.346333333333348</v>
      </c>
    </row>
    <row r="85" spans="1:12" x14ac:dyDescent="0.2">
      <c r="A85" s="7" t="s">
        <v>18</v>
      </c>
      <c r="B85" s="6" t="s">
        <v>39</v>
      </c>
      <c r="C85" s="6" t="s">
        <v>44</v>
      </c>
      <c r="D85" s="17" t="s">
        <v>45</v>
      </c>
      <c r="E85" s="8">
        <v>225</v>
      </c>
      <c r="F85" s="8">
        <v>2</v>
      </c>
      <c r="G85" s="8">
        <v>49</v>
      </c>
      <c r="H85" s="6" t="s">
        <v>51</v>
      </c>
      <c r="I85" s="6">
        <v>96.01</v>
      </c>
      <c r="J85" s="6" t="str">
        <f>IF(tblProduction[[#This Row],[Downtime_Min]]&gt;Helper_Calculations!$B$4, "High", IF(tblProduction[[#This Row],[Downtime_Min]]&lt;Helper_Calculations!$B$3,"low","Medium"))</f>
        <v>High</v>
      </c>
      <c r="K85" s="42">
        <f>VLOOKUP(tblProduction[[#This Row],[Product_Type]],Defect_Table,4,FALSE)</f>
        <v>2.6075502200401161E-2</v>
      </c>
      <c r="L85" s="44">
        <f>VLOOKUP(tblProduction[[#This Row],[Line_ID]],Efficiency_Table,2,FALSE)</f>
        <v>83.481999999999985</v>
      </c>
    </row>
    <row r="86" spans="1:12" x14ac:dyDescent="0.2">
      <c r="A86" s="7" t="s">
        <v>18</v>
      </c>
      <c r="B86" s="6" t="s">
        <v>40</v>
      </c>
      <c r="C86" s="6" t="s">
        <v>42</v>
      </c>
      <c r="D86" s="17" t="s">
        <v>45</v>
      </c>
      <c r="E86" s="8">
        <v>212</v>
      </c>
      <c r="F86" s="8">
        <v>6</v>
      </c>
      <c r="G86" s="8">
        <v>56</v>
      </c>
      <c r="H86" s="6" t="s">
        <v>54</v>
      </c>
      <c r="I86" s="6">
        <v>88.84</v>
      </c>
      <c r="J86" s="6" t="str">
        <f>IF(tblProduction[[#This Row],[Downtime_Min]]&gt;Helper_Calculations!$B$4, "High", IF(tblProduction[[#This Row],[Downtime_Min]]&lt;Helper_Calculations!$B$3,"low","Medium"))</f>
        <v>High</v>
      </c>
      <c r="K86" s="42">
        <f>VLOOKUP(tblProduction[[#This Row],[Product_Type]],Defect_Table,4,FALSE)</f>
        <v>2.6075502200401161E-2</v>
      </c>
      <c r="L86" s="44">
        <f>VLOOKUP(tblProduction[[#This Row],[Line_ID]],Efficiency_Table,2,FALSE)</f>
        <v>84.103777777777793</v>
      </c>
    </row>
    <row r="87" spans="1:12" x14ac:dyDescent="0.2">
      <c r="A87" s="7" t="s">
        <v>18</v>
      </c>
      <c r="B87" s="6" t="s">
        <v>40</v>
      </c>
      <c r="C87" s="6" t="s">
        <v>43</v>
      </c>
      <c r="D87" s="17" t="s">
        <v>46</v>
      </c>
      <c r="E87" s="8">
        <v>219</v>
      </c>
      <c r="F87" s="8">
        <v>0</v>
      </c>
      <c r="G87" s="8">
        <v>7</v>
      </c>
      <c r="H87" s="6" t="s">
        <v>56</v>
      </c>
      <c r="I87" s="6">
        <v>91.06</v>
      </c>
      <c r="J87" s="6" t="str">
        <f>IF(tblProduction[[#This Row],[Downtime_Min]]&gt;Helper_Calculations!$B$4, "High", IF(tblProduction[[#This Row],[Downtime_Min]]&lt;Helper_Calculations!$B$3,"low","Medium"))</f>
        <v>low</v>
      </c>
      <c r="K87" s="42">
        <f>VLOOKUP(tblProduction[[#This Row],[Product_Type]],Defect_Table,4,FALSE)</f>
        <v>2.230142566191446E-2</v>
      </c>
      <c r="L87" s="44">
        <f>VLOOKUP(tblProduction[[#This Row],[Line_ID]],Efficiency_Table,2,FALSE)</f>
        <v>84.346333333333348</v>
      </c>
    </row>
    <row r="88" spans="1:12" x14ac:dyDescent="0.2">
      <c r="A88" s="7" t="s">
        <v>18</v>
      </c>
      <c r="B88" s="6" t="s">
        <v>40</v>
      </c>
      <c r="C88" s="6" t="s">
        <v>44</v>
      </c>
      <c r="D88" s="17" t="s">
        <v>47</v>
      </c>
      <c r="E88" s="8">
        <v>341</v>
      </c>
      <c r="F88" s="8">
        <v>11</v>
      </c>
      <c r="G88" s="8">
        <v>50</v>
      </c>
      <c r="H88" s="6" t="s">
        <v>56</v>
      </c>
      <c r="I88" s="6">
        <v>80.14</v>
      </c>
      <c r="J88" s="6" t="str">
        <f>IF(tblProduction[[#This Row],[Downtime_Min]]&gt;Helper_Calculations!$B$4, "High", IF(tblProduction[[#This Row],[Downtime_Min]]&lt;Helper_Calculations!$B$3,"low","Medium"))</f>
        <v>High</v>
      </c>
      <c r="K88" s="42">
        <f>VLOOKUP(tblProduction[[#This Row],[Product_Type]],Defect_Table,4,FALSE)</f>
        <v>2.5486680327868851E-2</v>
      </c>
      <c r="L88" s="44">
        <f>VLOOKUP(tblProduction[[#This Row],[Line_ID]],Efficiency_Table,2,FALSE)</f>
        <v>83.481999999999985</v>
      </c>
    </row>
    <row r="89" spans="1:12" x14ac:dyDescent="0.2">
      <c r="A89" s="7" t="s">
        <v>18</v>
      </c>
      <c r="B89" s="6" t="s">
        <v>41</v>
      </c>
      <c r="C89" s="6" t="s">
        <v>42</v>
      </c>
      <c r="D89" s="17" t="s">
        <v>45</v>
      </c>
      <c r="E89" s="8">
        <v>291</v>
      </c>
      <c r="F89" s="8">
        <v>1</v>
      </c>
      <c r="G89" s="8">
        <v>1</v>
      </c>
      <c r="H89" s="6" t="s">
        <v>57</v>
      </c>
      <c r="I89" s="6">
        <v>83.15</v>
      </c>
      <c r="J89" s="6" t="str">
        <f>IF(tblProduction[[#This Row],[Downtime_Min]]&gt;Helper_Calculations!$B$4, "High", IF(tblProduction[[#This Row],[Downtime_Min]]&lt;Helper_Calculations!$B$3,"low","Medium"))</f>
        <v>low</v>
      </c>
      <c r="K89" s="42">
        <f>VLOOKUP(tblProduction[[#This Row],[Product_Type]],Defect_Table,4,FALSE)</f>
        <v>2.6075502200401161E-2</v>
      </c>
      <c r="L89" s="44">
        <f>VLOOKUP(tblProduction[[#This Row],[Line_ID]],Efficiency_Table,2,FALSE)</f>
        <v>84.103777777777793</v>
      </c>
    </row>
    <row r="90" spans="1:12" x14ac:dyDescent="0.2">
      <c r="A90" s="7" t="s">
        <v>18</v>
      </c>
      <c r="B90" s="6" t="s">
        <v>41</v>
      </c>
      <c r="C90" s="6" t="s">
        <v>43</v>
      </c>
      <c r="D90" s="17" t="s">
        <v>47</v>
      </c>
      <c r="E90" s="8">
        <v>250</v>
      </c>
      <c r="F90" s="8">
        <v>16</v>
      </c>
      <c r="G90" s="8">
        <v>51</v>
      </c>
      <c r="H90" s="6" t="s">
        <v>57</v>
      </c>
      <c r="I90" s="6">
        <v>71.17</v>
      </c>
      <c r="J90" s="6" t="str">
        <f>IF(tblProduction[[#This Row],[Downtime_Min]]&gt;Helper_Calculations!$B$4, "High", IF(tblProduction[[#This Row],[Downtime_Min]]&lt;Helper_Calculations!$B$3,"low","Medium"))</f>
        <v>High</v>
      </c>
      <c r="K90" s="42">
        <f>VLOOKUP(tblProduction[[#This Row],[Product_Type]],Defect_Table,4,FALSE)</f>
        <v>2.5486680327868851E-2</v>
      </c>
      <c r="L90" s="44">
        <f>VLOOKUP(tblProduction[[#This Row],[Line_ID]],Efficiency_Table,2,FALSE)</f>
        <v>84.346333333333348</v>
      </c>
    </row>
    <row r="91" spans="1:12" x14ac:dyDescent="0.2">
      <c r="A91" s="7" t="s">
        <v>18</v>
      </c>
      <c r="B91" s="6" t="s">
        <v>41</v>
      </c>
      <c r="C91" s="6" t="s">
        <v>44</v>
      </c>
      <c r="D91" s="17" t="s">
        <v>47</v>
      </c>
      <c r="E91" s="8">
        <v>470</v>
      </c>
      <c r="F91" s="8">
        <v>10</v>
      </c>
      <c r="G91" s="8">
        <v>59</v>
      </c>
      <c r="H91" s="6" t="s">
        <v>54</v>
      </c>
      <c r="I91" s="6">
        <v>79.8</v>
      </c>
      <c r="J91" s="6" t="str">
        <f>IF(tblProduction[[#This Row],[Downtime_Min]]&gt;Helper_Calculations!$B$4, "High", IF(tblProduction[[#This Row],[Downtime_Min]]&lt;Helper_Calculations!$B$3,"low","Medium"))</f>
        <v>High</v>
      </c>
      <c r="K91" s="42">
        <f>VLOOKUP(tblProduction[[#This Row],[Product_Type]],Defect_Table,4,FALSE)</f>
        <v>2.5486680327868851E-2</v>
      </c>
      <c r="L91" s="44">
        <f>VLOOKUP(tblProduction[[#This Row],[Line_ID]],Efficiency_Table,2,FALSE)</f>
        <v>83.481999999999985</v>
      </c>
    </row>
    <row r="92" spans="1:12" x14ac:dyDescent="0.2">
      <c r="A92" s="7" t="s">
        <v>19</v>
      </c>
      <c r="B92" s="6" t="s">
        <v>39</v>
      </c>
      <c r="C92" s="6" t="s">
        <v>42</v>
      </c>
      <c r="D92" s="17" t="s">
        <v>45</v>
      </c>
      <c r="E92" s="8">
        <v>463</v>
      </c>
      <c r="F92" s="8">
        <v>11</v>
      </c>
      <c r="G92" s="8">
        <v>43</v>
      </c>
      <c r="H92" s="6" t="s">
        <v>50</v>
      </c>
      <c r="I92" s="6">
        <v>88.69</v>
      </c>
      <c r="J92" s="6" t="str">
        <f>IF(tblProduction[[#This Row],[Downtime_Min]]&gt;Helper_Calculations!$B$4, "High", IF(tblProduction[[#This Row],[Downtime_Min]]&lt;Helper_Calculations!$B$3,"low","Medium"))</f>
        <v>Medium</v>
      </c>
      <c r="K92" s="42">
        <f>VLOOKUP(tblProduction[[#This Row],[Product_Type]],Defect_Table,4,FALSE)</f>
        <v>2.6075502200401161E-2</v>
      </c>
      <c r="L92" s="44">
        <f>VLOOKUP(tblProduction[[#This Row],[Line_ID]],Efficiency_Table,2,FALSE)</f>
        <v>84.103777777777793</v>
      </c>
    </row>
    <row r="93" spans="1:12" x14ac:dyDescent="0.2">
      <c r="A93" s="7" t="s">
        <v>19</v>
      </c>
      <c r="B93" s="6" t="s">
        <v>39</v>
      </c>
      <c r="C93" s="6" t="s">
        <v>43</v>
      </c>
      <c r="D93" s="17" t="s">
        <v>45</v>
      </c>
      <c r="E93" s="8">
        <v>395</v>
      </c>
      <c r="F93" s="8">
        <v>5</v>
      </c>
      <c r="G93" s="8">
        <v>44</v>
      </c>
      <c r="H93" s="6" t="s">
        <v>50</v>
      </c>
      <c r="I93" s="6">
        <v>75.83</v>
      </c>
      <c r="J93" s="6" t="str">
        <f>IF(tblProduction[[#This Row],[Downtime_Min]]&gt;Helper_Calculations!$B$4, "High", IF(tblProduction[[#This Row],[Downtime_Min]]&lt;Helper_Calculations!$B$3,"low","Medium"))</f>
        <v>Medium</v>
      </c>
      <c r="K93" s="42">
        <f>VLOOKUP(tblProduction[[#This Row],[Product_Type]],Defect_Table,4,FALSE)</f>
        <v>2.6075502200401161E-2</v>
      </c>
      <c r="L93" s="44">
        <f>VLOOKUP(tblProduction[[#This Row],[Line_ID]],Efficiency_Table,2,FALSE)</f>
        <v>84.346333333333348</v>
      </c>
    </row>
    <row r="94" spans="1:12" x14ac:dyDescent="0.2">
      <c r="A94" s="7" t="s">
        <v>19</v>
      </c>
      <c r="B94" s="6" t="s">
        <v>39</v>
      </c>
      <c r="C94" s="6" t="s">
        <v>44</v>
      </c>
      <c r="D94" s="17" t="s">
        <v>47</v>
      </c>
      <c r="E94" s="8">
        <v>246</v>
      </c>
      <c r="F94" s="8">
        <v>2</v>
      </c>
      <c r="G94" s="8">
        <v>54</v>
      </c>
      <c r="H94" s="6" t="s">
        <v>51</v>
      </c>
      <c r="I94" s="6">
        <v>74.150000000000006</v>
      </c>
      <c r="J94" s="6" t="str">
        <f>IF(tblProduction[[#This Row],[Downtime_Min]]&gt;Helper_Calculations!$B$4, "High", IF(tblProduction[[#This Row],[Downtime_Min]]&lt;Helper_Calculations!$B$3,"low","Medium"))</f>
        <v>High</v>
      </c>
      <c r="K94" s="42">
        <f>VLOOKUP(tblProduction[[#This Row],[Product_Type]],Defect_Table,4,FALSE)</f>
        <v>2.5486680327868851E-2</v>
      </c>
      <c r="L94" s="44">
        <f>VLOOKUP(tblProduction[[#This Row],[Line_ID]],Efficiency_Table,2,FALSE)</f>
        <v>83.481999999999985</v>
      </c>
    </row>
    <row r="95" spans="1:12" x14ac:dyDescent="0.2">
      <c r="A95" s="7" t="s">
        <v>19</v>
      </c>
      <c r="B95" s="6" t="s">
        <v>40</v>
      </c>
      <c r="C95" s="6" t="s">
        <v>42</v>
      </c>
      <c r="D95" s="17" t="s">
        <v>46</v>
      </c>
      <c r="E95" s="8">
        <v>343</v>
      </c>
      <c r="F95" s="8">
        <v>12</v>
      </c>
      <c r="G95" s="8">
        <v>49</v>
      </c>
      <c r="H95" s="6" t="s">
        <v>53</v>
      </c>
      <c r="I95" s="6">
        <v>85.49</v>
      </c>
      <c r="J95" s="6" t="str">
        <f>IF(tblProduction[[#This Row],[Downtime_Min]]&gt;Helper_Calculations!$B$4, "High", IF(tblProduction[[#This Row],[Downtime_Min]]&lt;Helper_Calculations!$B$3,"low","Medium"))</f>
        <v>High</v>
      </c>
      <c r="K95" s="42">
        <f>VLOOKUP(tblProduction[[#This Row],[Product_Type]],Defect_Table,4,FALSE)</f>
        <v>2.230142566191446E-2</v>
      </c>
      <c r="L95" s="44">
        <f>VLOOKUP(tblProduction[[#This Row],[Line_ID]],Efficiency_Table,2,FALSE)</f>
        <v>84.103777777777793</v>
      </c>
    </row>
    <row r="96" spans="1:12" x14ac:dyDescent="0.2">
      <c r="A96" s="7" t="s">
        <v>19</v>
      </c>
      <c r="B96" s="6" t="s">
        <v>40</v>
      </c>
      <c r="C96" s="6" t="s">
        <v>43</v>
      </c>
      <c r="D96" s="17" t="s">
        <v>45</v>
      </c>
      <c r="E96" s="8">
        <v>357</v>
      </c>
      <c r="F96" s="8">
        <v>18</v>
      </c>
      <c r="G96" s="8">
        <v>16</v>
      </c>
      <c r="H96" s="6" t="s">
        <v>57</v>
      </c>
      <c r="I96" s="6">
        <v>81.96</v>
      </c>
      <c r="J96" s="6" t="str">
        <f>IF(tblProduction[[#This Row],[Downtime_Min]]&gt;Helper_Calculations!$B$4, "High", IF(tblProduction[[#This Row],[Downtime_Min]]&lt;Helper_Calculations!$B$3,"low","Medium"))</f>
        <v>low</v>
      </c>
      <c r="K96" s="42">
        <f>VLOOKUP(tblProduction[[#This Row],[Product_Type]],Defect_Table,4,FALSE)</f>
        <v>2.6075502200401161E-2</v>
      </c>
      <c r="L96" s="44">
        <f>VLOOKUP(tblProduction[[#This Row],[Line_ID]],Efficiency_Table,2,FALSE)</f>
        <v>84.346333333333348</v>
      </c>
    </row>
    <row r="97" spans="1:12" x14ac:dyDescent="0.2">
      <c r="A97" s="7" t="s">
        <v>19</v>
      </c>
      <c r="B97" s="6" t="s">
        <v>40</v>
      </c>
      <c r="C97" s="6" t="s">
        <v>44</v>
      </c>
      <c r="D97" s="17" t="s">
        <v>47</v>
      </c>
      <c r="E97" s="8">
        <v>474</v>
      </c>
      <c r="F97" s="8">
        <v>4</v>
      </c>
      <c r="G97" s="8">
        <v>25</v>
      </c>
      <c r="H97" s="6" t="s">
        <v>49</v>
      </c>
      <c r="I97" s="6">
        <v>98.88</v>
      </c>
      <c r="J97" s="6" t="str">
        <f>IF(tblProduction[[#This Row],[Downtime_Min]]&gt;Helper_Calculations!$B$4, "High", IF(tblProduction[[#This Row],[Downtime_Min]]&lt;Helper_Calculations!$B$3,"low","Medium"))</f>
        <v>Medium</v>
      </c>
      <c r="K97" s="42">
        <f>VLOOKUP(tblProduction[[#This Row],[Product_Type]],Defect_Table,4,FALSE)</f>
        <v>2.5486680327868851E-2</v>
      </c>
      <c r="L97" s="44">
        <f>VLOOKUP(tblProduction[[#This Row],[Line_ID]],Efficiency_Table,2,FALSE)</f>
        <v>83.481999999999985</v>
      </c>
    </row>
    <row r="98" spans="1:12" x14ac:dyDescent="0.2">
      <c r="A98" s="7" t="s">
        <v>19</v>
      </c>
      <c r="B98" s="6" t="s">
        <v>41</v>
      </c>
      <c r="C98" s="6" t="s">
        <v>42</v>
      </c>
      <c r="D98" s="17" t="s">
        <v>47</v>
      </c>
      <c r="E98" s="8">
        <v>478</v>
      </c>
      <c r="F98" s="8">
        <v>8</v>
      </c>
      <c r="G98" s="8">
        <v>11</v>
      </c>
      <c r="H98" s="6" t="s">
        <v>53</v>
      </c>
      <c r="I98" s="6">
        <v>82.27</v>
      </c>
      <c r="J98" s="6" t="str">
        <f>IF(tblProduction[[#This Row],[Downtime_Min]]&gt;Helper_Calculations!$B$4, "High", IF(tblProduction[[#This Row],[Downtime_Min]]&lt;Helper_Calculations!$B$3,"low","Medium"))</f>
        <v>low</v>
      </c>
      <c r="K98" s="42">
        <f>VLOOKUP(tblProduction[[#This Row],[Product_Type]],Defect_Table,4,FALSE)</f>
        <v>2.5486680327868851E-2</v>
      </c>
      <c r="L98" s="44">
        <f>VLOOKUP(tblProduction[[#This Row],[Line_ID]],Efficiency_Table,2,FALSE)</f>
        <v>84.103777777777793</v>
      </c>
    </row>
    <row r="99" spans="1:12" x14ac:dyDescent="0.2">
      <c r="A99" s="7" t="s">
        <v>19</v>
      </c>
      <c r="B99" s="6" t="s">
        <v>41</v>
      </c>
      <c r="C99" s="6" t="s">
        <v>43</v>
      </c>
      <c r="D99" s="17" t="s">
        <v>47</v>
      </c>
      <c r="E99" s="8">
        <v>257</v>
      </c>
      <c r="F99" s="8">
        <v>0</v>
      </c>
      <c r="G99" s="8">
        <v>46</v>
      </c>
      <c r="H99" s="6" t="s">
        <v>52</v>
      </c>
      <c r="I99" s="6">
        <v>77.510000000000005</v>
      </c>
      <c r="J99" s="6" t="str">
        <f>IF(tblProduction[[#This Row],[Downtime_Min]]&gt;Helper_Calculations!$B$4, "High", IF(tblProduction[[#This Row],[Downtime_Min]]&lt;Helper_Calculations!$B$3,"low","Medium"))</f>
        <v>Medium</v>
      </c>
      <c r="K99" s="42">
        <f>VLOOKUP(tblProduction[[#This Row],[Product_Type]],Defect_Table,4,FALSE)</f>
        <v>2.5486680327868851E-2</v>
      </c>
      <c r="L99" s="44">
        <f>VLOOKUP(tblProduction[[#This Row],[Line_ID]],Efficiency_Table,2,FALSE)</f>
        <v>84.346333333333348</v>
      </c>
    </row>
    <row r="100" spans="1:12" x14ac:dyDescent="0.2">
      <c r="A100" s="7" t="s">
        <v>19</v>
      </c>
      <c r="B100" s="6" t="s">
        <v>41</v>
      </c>
      <c r="C100" s="6" t="s">
        <v>44</v>
      </c>
      <c r="D100" s="17" t="s">
        <v>47</v>
      </c>
      <c r="E100" s="8">
        <v>325</v>
      </c>
      <c r="F100" s="8">
        <v>15</v>
      </c>
      <c r="G100" s="8">
        <v>24</v>
      </c>
      <c r="H100" s="6" t="s">
        <v>53</v>
      </c>
      <c r="I100" s="6">
        <v>89.81</v>
      </c>
      <c r="J100" s="6" t="str">
        <f>IF(tblProduction[[#This Row],[Downtime_Min]]&gt;Helper_Calculations!$B$4, "High", IF(tblProduction[[#This Row],[Downtime_Min]]&lt;Helper_Calculations!$B$3,"low","Medium"))</f>
        <v>Medium</v>
      </c>
      <c r="K100" s="42">
        <f>VLOOKUP(tblProduction[[#This Row],[Product_Type]],Defect_Table,4,FALSE)</f>
        <v>2.5486680327868851E-2</v>
      </c>
      <c r="L100" s="44">
        <f>VLOOKUP(tblProduction[[#This Row],[Line_ID]],Efficiency_Table,2,FALSE)</f>
        <v>83.481999999999985</v>
      </c>
    </row>
    <row r="101" spans="1:12" x14ac:dyDescent="0.2">
      <c r="A101" s="7" t="s">
        <v>20</v>
      </c>
      <c r="B101" s="6" t="s">
        <v>39</v>
      </c>
      <c r="C101" s="6" t="s">
        <v>42</v>
      </c>
      <c r="D101" s="17" t="s">
        <v>46</v>
      </c>
      <c r="E101" s="8">
        <v>471</v>
      </c>
      <c r="F101" s="8">
        <v>6</v>
      </c>
      <c r="G101" s="8">
        <v>4</v>
      </c>
      <c r="H101" s="6" t="s">
        <v>48</v>
      </c>
      <c r="I101" s="6">
        <v>88.35</v>
      </c>
      <c r="J101" s="6" t="str">
        <f>IF(tblProduction[[#This Row],[Downtime_Min]]&gt;Helper_Calculations!$B$4, "High", IF(tblProduction[[#This Row],[Downtime_Min]]&lt;Helper_Calculations!$B$3,"low","Medium"))</f>
        <v>low</v>
      </c>
      <c r="K101" s="42">
        <f>VLOOKUP(tblProduction[[#This Row],[Product_Type]],Defect_Table,4,FALSE)</f>
        <v>2.230142566191446E-2</v>
      </c>
      <c r="L101" s="44">
        <f>VLOOKUP(tblProduction[[#This Row],[Line_ID]],Efficiency_Table,2,FALSE)</f>
        <v>84.103777777777793</v>
      </c>
    </row>
    <row r="102" spans="1:12" x14ac:dyDescent="0.2">
      <c r="A102" s="7" t="s">
        <v>20</v>
      </c>
      <c r="B102" s="6" t="s">
        <v>39</v>
      </c>
      <c r="C102" s="6" t="s">
        <v>43</v>
      </c>
      <c r="D102" s="17" t="s">
        <v>47</v>
      </c>
      <c r="E102" s="8">
        <v>446</v>
      </c>
      <c r="F102" s="8">
        <v>2</v>
      </c>
      <c r="G102" s="8">
        <v>11</v>
      </c>
      <c r="H102" s="6" t="s">
        <v>48</v>
      </c>
      <c r="I102" s="6">
        <v>86.98</v>
      </c>
      <c r="J102" s="6" t="str">
        <f>IF(tblProduction[[#This Row],[Downtime_Min]]&gt;Helper_Calculations!$B$4, "High", IF(tblProduction[[#This Row],[Downtime_Min]]&lt;Helper_Calculations!$B$3,"low","Medium"))</f>
        <v>low</v>
      </c>
      <c r="K102" s="42">
        <f>VLOOKUP(tblProduction[[#This Row],[Product_Type]],Defect_Table,4,FALSE)</f>
        <v>2.5486680327868851E-2</v>
      </c>
      <c r="L102" s="44">
        <f>VLOOKUP(tblProduction[[#This Row],[Line_ID]],Efficiency_Table,2,FALSE)</f>
        <v>84.346333333333348</v>
      </c>
    </row>
    <row r="103" spans="1:12" x14ac:dyDescent="0.2">
      <c r="A103" s="7" t="s">
        <v>20</v>
      </c>
      <c r="B103" s="6" t="s">
        <v>39</v>
      </c>
      <c r="C103" s="6" t="s">
        <v>44</v>
      </c>
      <c r="D103" s="17" t="s">
        <v>46</v>
      </c>
      <c r="E103" s="8">
        <v>285</v>
      </c>
      <c r="F103" s="8">
        <v>13</v>
      </c>
      <c r="G103" s="8">
        <v>27</v>
      </c>
      <c r="H103" s="6" t="s">
        <v>57</v>
      </c>
      <c r="I103" s="6">
        <v>71.38</v>
      </c>
      <c r="J103" s="6" t="str">
        <f>IF(tblProduction[[#This Row],[Downtime_Min]]&gt;Helper_Calculations!$B$4, "High", IF(tblProduction[[#This Row],[Downtime_Min]]&lt;Helper_Calculations!$B$3,"low","Medium"))</f>
        <v>Medium</v>
      </c>
      <c r="K103" s="42">
        <f>VLOOKUP(tblProduction[[#This Row],[Product_Type]],Defect_Table,4,FALSE)</f>
        <v>2.230142566191446E-2</v>
      </c>
      <c r="L103" s="44">
        <f>VLOOKUP(tblProduction[[#This Row],[Line_ID]],Efficiency_Table,2,FALSE)</f>
        <v>83.481999999999985</v>
      </c>
    </row>
    <row r="104" spans="1:12" x14ac:dyDescent="0.2">
      <c r="A104" s="7" t="s">
        <v>20</v>
      </c>
      <c r="B104" s="6" t="s">
        <v>40</v>
      </c>
      <c r="C104" s="6" t="s">
        <v>42</v>
      </c>
      <c r="D104" s="17" t="s">
        <v>45</v>
      </c>
      <c r="E104" s="8">
        <v>293</v>
      </c>
      <c r="F104" s="8">
        <v>13</v>
      </c>
      <c r="G104" s="8">
        <v>51</v>
      </c>
      <c r="H104" s="6" t="s">
        <v>57</v>
      </c>
      <c r="I104" s="6">
        <v>75.260000000000005</v>
      </c>
      <c r="J104" s="6" t="str">
        <f>IF(tblProduction[[#This Row],[Downtime_Min]]&gt;Helper_Calculations!$B$4, "High", IF(tblProduction[[#This Row],[Downtime_Min]]&lt;Helper_Calculations!$B$3,"low","Medium"))</f>
        <v>High</v>
      </c>
      <c r="K104" s="42">
        <f>VLOOKUP(tblProduction[[#This Row],[Product_Type]],Defect_Table,4,FALSE)</f>
        <v>2.6075502200401161E-2</v>
      </c>
      <c r="L104" s="44">
        <f>VLOOKUP(tblProduction[[#This Row],[Line_ID]],Efficiency_Table,2,FALSE)</f>
        <v>84.103777777777793</v>
      </c>
    </row>
    <row r="105" spans="1:12" x14ac:dyDescent="0.2">
      <c r="A105" s="7" t="s">
        <v>20</v>
      </c>
      <c r="B105" s="6" t="s">
        <v>40</v>
      </c>
      <c r="C105" s="6" t="s">
        <v>43</v>
      </c>
      <c r="D105" s="17" t="s">
        <v>45</v>
      </c>
      <c r="E105" s="8">
        <v>417</v>
      </c>
      <c r="F105" s="8">
        <v>15</v>
      </c>
      <c r="G105" s="8">
        <v>20</v>
      </c>
      <c r="H105" s="6" t="s">
        <v>49</v>
      </c>
      <c r="I105" s="6">
        <v>84.2</v>
      </c>
      <c r="J105" s="6" t="str">
        <f>IF(tblProduction[[#This Row],[Downtime_Min]]&gt;Helper_Calculations!$B$4, "High", IF(tblProduction[[#This Row],[Downtime_Min]]&lt;Helper_Calculations!$B$3,"low","Medium"))</f>
        <v>Medium</v>
      </c>
      <c r="K105" s="42">
        <f>VLOOKUP(tblProduction[[#This Row],[Product_Type]],Defect_Table,4,FALSE)</f>
        <v>2.6075502200401161E-2</v>
      </c>
      <c r="L105" s="44">
        <f>VLOOKUP(tblProduction[[#This Row],[Line_ID]],Efficiency_Table,2,FALSE)</f>
        <v>84.346333333333348</v>
      </c>
    </row>
    <row r="106" spans="1:12" x14ac:dyDescent="0.2">
      <c r="A106" s="7" t="s">
        <v>20</v>
      </c>
      <c r="B106" s="6" t="s">
        <v>40</v>
      </c>
      <c r="C106" s="6" t="s">
        <v>44</v>
      </c>
      <c r="D106" s="17" t="s">
        <v>45</v>
      </c>
      <c r="E106" s="8">
        <v>488</v>
      </c>
      <c r="F106" s="8">
        <v>4</v>
      </c>
      <c r="G106" s="8">
        <v>22</v>
      </c>
      <c r="H106" s="6" t="s">
        <v>54</v>
      </c>
      <c r="I106" s="6">
        <v>71.44</v>
      </c>
      <c r="J106" s="6" t="str">
        <f>IF(tblProduction[[#This Row],[Downtime_Min]]&gt;Helper_Calculations!$B$4, "High", IF(tblProduction[[#This Row],[Downtime_Min]]&lt;Helper_Calculations!$B$3,"low","Medium"))</f>
        <v>Medium</v>
      </c>
      <c r="K106" s="42">
        <f>VLOOKUP(tblProduction[[#This Row],[Product_Type]],Defect_Table,4,FALSE)</f>
        <v>2.6075502200401161E-2</v>
      </c>
      <c r="L106" s="44">
        <f>VLOOKUP(tblProduction[[#This Row],[Line_ID]],Efficiency_Table,2,FALSE)</f>
        <v>83.481999999999985</v>
      </c>
    </row>
    <row r="107" spans="1:12" x14ac:dyDescent="0.2">
      <c r="A107" s="7" t="s">
        <v>20</v>
      </c>
      <c r="B107" s="6" t="s">
        <v>41</v>
      </c>
      <c r="C107" s="6" t="s">
        <v>42</v>
      </c>
      <c r="D107" s="17" t="s">
        <v>45</v>
      </c>
      <c r="E107" s="8">
        <v>445</v>
      </c>
      <c r="F107" s="8">
        <v>4</v>
      </c>
      <c r="G107" s="8">
        <v>35</v>
      </c>
      <c r="H107" s="6" t="s">
        <v>53</v>
      </c>
      <c r="I107" s="6">
        <v>71.36</v>
      </c>
      <c r="J107" s="6" t="str">
        <f>IF(tblProduction[[#This Row],[Downtime_Min]]&gt;Helper_Calculations!$B$4, "High", IF(tblProduction[[#This Row],[Downtime_Min]]&lt;Helper_Calculations!$B$3,"low","Medium"))</f>
        <v>Medium</v>
      </c>
      <c r="K107" s="42">
        <f>VLOOKUP(tblProduction[[#This Row],[Product_Type]],Defect_Table,4,FALSE)</f>
        <v>2.6075502200401161E-2</v>
      </c>
      <c r="L107" s="44">
        <f>VLOOKUP(tblProduction[[#This Row],[Line_ID]],Efficiency_Table,2,FALSE)</f>
        <v>84.103777777777793</v>
      </c>
    </row>
    <row r="108" spans="1:12" x14ac:dyDescent="0.2">
      <c r="A108" s="7" t="s">
        <v>20</v>
      </c>
      <c r="B108" s="6" t="s">
        <v>41</v>
      </c>
      <c r="C108" s="6" t="s">
        <v>43</v>
      </c>
      <c r="D108" s="17" t="s">
        <v>46</v>
      </c>
      <c r="E108" s="8">
        <v>422</v>
      </c>
      <c r="F108" s="8">
        <v>9</v>
      </c>
      <c r="G108" s="8">
        <v>57</v>
      </c>
      <c r="H108" s="6" t="s">
        <v>57</v>
      </c>
      <c r="I108" s="6">
        <v>98</v>
      </c>
      <c r="J108" s="6" t="str">
        <f>IF(tblProduction[[#This Row],[Downtime_Min]]&gt;Helper_Calculations!$B$4, "High", IF(tblProduction[[#This Row],[Downtime_Min]]&lt;Helper_Calculations!$B$3,"low","Medium"))</f>
        <v>High</v>
      </c>
      <c r="K108" s="42">
        <f>VLOOKUP(tblProduction[[#This Row],[Product_Type]],Defect_Table,4,FALSE)</f>
        <v>2.230142566191446E-2</v>
      </c>
      <c r="L108" s="44">
        <f>VLOOKUP(tblProduction[[#This Row],[Line_ID]],Efficiency_Table,2,FALSE)</f>
        <v>84.346333333333348</v>
      </c>
    </row>
    <row r="109" spans="1:12" x14ac:dyDescent="0.2">
      <c r="A109" s="7" t="s">
        <v>20</v>
      </c>
      <c r="B109" s="6" t="s">
        <v>41</v>
      </c>
      <c r="C109" s="6" t="s">
        <v>44</v>
      </c>
      <c r="D109" s="17" t="s">
        <v>46</v>
      </c>
      <c r="E109" s="8">
        <v>295</v>
      </c>
      <c r="F109" s="8">
        <v>0</v>
      </c>
      <c r="G109" s="8">
        <v>55</v>
      </c>
      <c r="H109" s="6" t="s">
        <v>55</v>
      </c>
      <c r="I109" s="6">
        <v>89.76</v>
      </c>
      <c r="J109" s="6" t="str">
        <f>IF(tblProduction[[#This Row],[Downtime_Min]]&gt;Helper_Calculations!$B$4, "High", IF(tblProduction[[#This Row],[Downtime_Min]]&lt;Helper_Calculations!$B$3,"low","Medium"))</f>
        <v>High</v>
      </c>
      <c r="K109" s="42">
        <f>VLOOKUP(tblProduction[[#This Row],[Product_Type]],Defect_Table,4,FALSE)</f>
        <v>2.230142566191446E-2</v>
      </c>
      <c r="L109" s="44">
        <f>VLOOKUP(tblProduction[[#This Row],[Line_ID]],Efficiency_Table,2,FALSE)</f>
        <v>83.481999999999985</v>
      </c>
    </row>
    <row r="110" spans="1:12" x14ac:dyDescent="0.2">
      <c r="A110" s="7" t="s">
        <v>21</v>
      </c>
      <c r="B110" s="6" t="s">
        <v>39</v>
      </c>
      <c r="C110" s="6" t="s">
        <v>42</v>
      </c>
      <c r="D110" s="17" t="s">
        <v>47</v>
      </c>
      <c r="E110" s="8">
        <v>203</v>
      </c>
      <c r="F110" s="8">
        <v>15</v>
      </c>
      <c r="G110" s="8">
        <v>23</v>
      </c>
      <c r="H110" s="6" t="s">
        <v>53</v>
      </c>
      <c r="I110" s="6">
        <v>98.32</v>
      </c>
      <c r="J110" s="6" t="str">
        <f>IF(tblProduction[[#This Row],[Downtime_Min]]&gt;Helper_Calculations!$B$4, "High", IF(tblProduction[[#This Row],[Downtime_Min]]&lt;Helper_Calculations!$B$3,"low","Medium"))</f>
        <v>Medium</v>
      </c>
      <c r="K110" s="42">
        <f>VLOOKUP(tblProduction[[#This Row],[Product_Type]],Defect_Table,4,FALSE)</f>
        <v>2.5486680327868851E-2</v>
      </c>
      <c r="L110" s="44">
        <f>VLOOKUP(tblProduction[[#This Row],[Line_ID]],Efficiency_Table,2,FALSE)</f>
        <v>84.103777777777793</v>
      </c>
    </row>
    <row r="111" spans="1:12" x14ac:dyDescent="0.2">
      <c r="A111" s="7" t="s">
        <v>21</v>
      </c>
      <c r="B111" s="6" t="s">
        <v>39</v>
      </c>
      <c r="C111" s="6" t="s">
        <v>43</v>
      </c>
      <c r="D111" s="17" t="s">
        <v>46</v>
      </c>
      <c r="E111" s="8">
        <v>457</v>
      </c>
      <c r="F111" s="8">
        <v>16</v>
      </c>
      <c r="G111" s="8">
        <v>27</v>
      </c>
      <c r="H111" s="6" t="s">
        <v>50</v>
      </c>
      <c r="I111" s="6">
        <v>87.57</v>
      </c>
      <c r="J111" s="6" t="str">
        <f>IF(tblProduction[[#This Row],[Downtime_Min]]&gt;Helper_Calculations!$B$4, "High", IF(tblProduction[[#This Row],[Downtime_Min]]&lt;Helper_Calculations!$B$3,"low","Medium"))</f>
        <v>Medium</v>
      </c>
      <c r="K111" s="42">
        <f>VLOOKUP(tblProduction[[#This Row],[Product_Type]],Defect_Table,4,FALSE)</f>
        <v>2.230142566191446E-2</v>
      </c>
      <c r="L111" s="44">
        <f>VLOOKUP(tblProduction[[#This Row],[Line_ID]],Efficiency_Table,2,FALSE)</f>
        <v>84.346333333333348</v>
      </c>
    </row>
    <row r="112" spans="1:12" x14ac:dyDescent="0.2">
      <c r="A112" s="7" t="s">
        <v>21</v>
      </c>
      <c r="B112" s="6" t="s">
        <v>39</v>
      </c>
      <c r="C112" s="6" t="s">
        <v>44</v>
      </c>
      <c r="D112" s="17" t="s">
        <v>45</v>
      </c>
      <c r="E112" s="8">
        <v>351</v>
      </c>
      <c r="F112" s="8">
        <v>11</v>
      </c>
      <c r="G112" s="8">
        <v>49</v>
      </c>
      <c r="H112" s="6" t="s">
        <v>48</v>
      </c>
      <c r="I112" s="6">
        <v>87.2</v>
      </c>
      <c r="J112" s="6" t="str">
        <f>IF(tblProduction[[#This Row],[Downtime_Min]]&gt;Helper_Calculations!$B$4, "High", IF(tblProduction[[#This Row],[Downtime_Min]]&lt;Helper_Calculations!$B$3,"low","Medium"))</f>
        <v>High</v>
      </c>
      <c r="K112" s="42">
        <f>VLOOKUP(tblProduction[[#This Row],[Product_Type]],Defect_Table,4,FALSE)</f>
        <v>2.6075502200401161E-2</v>
      </c>
      <c r="L112" s="44">
        <f>VLOOKUP(tblProduction[[#This Row],[Line_ID]],Efficiency_Table,2,FALSE)</f>
        <v>83.481999999999985</v>
      </c>
    </row>
    <row r="113" spans="1:12" x14ac:dyDescent="0.2">
      <c r="A113" s="7" t="s">
        <v>21</v>
      </c>
      <c r="B113" s="6" t="s">
        <v>40</v>
      </c>
      <c r="C113" s="6" t="s">
        <v>42</v>
      </c>
      <c r="D113" s="17" t="s">
        <v>46</v>
      </c>
      <c r="E113" s="8">
        <v>232</v>
      </c>
      <c r="F113" s="8">
        <v>0</v>
      </c>
      <c r="G113" s="8">
        <v>50</v>
      </c>
      <c r="H113" s="6" t="s">
        <v>55</v>
      </c>
      <c r="I113" s="6">
        <v>94.62</v>
      </c>
      <c r="J113" s="6" t="str">
        <f>IF(tblProduction[[#This Row],[Downtime_Min]]&gt;Helper_Calculations!$B$4, "High", IF(tblProduction[[#This Row],[Downtime_Min]]&lt;Helper_Calculations!$B$3,"low","Medium"))</f>
        <v>High</v>
      </c>
      <c r="K113" s="42">
        <f>VLOOKUP(tblProduction[[#This Row],[Product_Type]],Defect_Table,4,FALSE)</f>
        <v>2.230142566191446E-2</v>
      </c>
      <c r="L113" s="44">
        <f>VLOOKUP(tblProduction[[#This Row],[Line_ID]],Efficiency_Table,2,FALSE)</f>
        <v>84.103777777777793</v>
      </c>
    </row>
    <row r="114" spans="1:12" x14ac:dyDescent="0.2">
      <c r="A114" s="7" t="s">
        <v>21</v>
      </c>
      <c r="B114" s="6" t="s">
        <v>40</v>
      </c>
      <c r="C114" s="6" t="s">
        <v>43</v>
      </c>
      <c r="D114" s="17" t="s">
        <v>47</v>
      </c>
      <c r="E114" s="8">
        <v>467</v>
      </c>
      <c r="F114" s="8">
        <v>2</v>
      </c>
      <c r="G114" s="8">
        <v>0</v>
      </c>
      <c r="H114" s="6" t="s">
        <v>57</v>
      </c>
      <c r="I114" s="6">
        <v>98.84</v>
      </c>
      <c r="J114" s="6" t="str">
        <f>IF(tblProduction[[#This Row],[Downtime_Min]]&gt;Helper_Calculations!$B$4, "High", IF(tblProduction[[#This Row],[Downtime_Min]]&lt;Helper_Calculations!$B$3,"low","Medium"))</f>
        <v>low</v>
      </c>
      <c r="K114" s="42">
        <f>VLOOKUP(tblProduction[[#This Row],[Product_Type]],Defect_Table,4,FALSE)</f>
        <v>2.5486680327868851E-2</v>
      </c>
      <c r="L114" s="44">
        <f>VLOOKUP(tblProduction[[#This Row],[Line_ID]],Efficiency_Table,2,FALSE)</f>
        <v>84.346333333333348</v>
      </c>
    </row>
    <row r="115" spans="1:12" x14ac:dyDescent="0.2">
      <c r="A115" s="7" t="s">
        <v>21</v>
      </c>
      <c r="B115" s="6" t="s">
        <v>40</v>
      </c>
      <c r="C115" s="6" t="s">
        <v>44</v>
      </c>
      <c r="D115" s="17" t="s">
        <v>45</v>
      </c>
      <c r="E115" s="8">
        <v>242</v>
      </c>
      <c r="F115" s="8">
        <v>11</v>
      </c>
      <c r="G115" s="8">
        <v>28</v>
      </c>
      <c r="H115" s="6" t="s">
        <v>55</v>
      </c>
      <c r="I115" s="6">
        <v>72.08</v>
      </c>
      <c r="J115" s="6" t="str">
        <f>IF(tblProduction[[#This Row],[Downtime_Min]]&gt;Helper_Calculations!$B$4, "High", IF(tblProduction[[#This Row],[Downtime_Min]]&lt;Helper_Calculations!$B$3,"low","Medium"))</f>
        <v>Medium</v>
      </c>
      <c r="K115" s="42">
        <f>VLOOKUP(tblProduction[[#This Row],[Product_Type]],Defect_Table,4,FALSE)</f>
        <v>2.6075502200401161E-2</v>
      </c>
      <c r="L115" s="44">
        <f>VLOOKUP(tblProduction[[#This Row],[Line_ID]],Efficiency_Table,2,FALSE)</f>
        <v>83.481999999999985</v>
      </c>
    </row>
    <row r="116" spans="1:12" x14ac:dyDescent="0.2">
      <c r="A116" s="7" t="s">
        <v>21</v>
      </c>
      <c r="B116" s="6" t="s">
        <v>41</v>
      </c>
      <c r="C116" s="6" t="s">
        <v>42</v>
      </c>
      <c r="D116" s="17" t="s">
        <v>47</v>
      </c>
      <c r="E116" s="8">
        <v>294</v>
      </c>
      <c r="F116" s="8">
        <v>13</v>
      </c>
      <c r="G116" s="8">
        <v>1</v>
      </c>
      <c r="H116" s="6" t="s">
        <v>52</v>
      </c>
      <c r="I116" s="6">
        <v>71.17</v>
      </c>
      <c r="J116" s="6" t="str">
        <f>IF(tblProduction[[#This Row],[Downtime_Min]]&gt;Helper_Calculations!$B$4, "High", IF(tblProduction[[#This Row],[Downtime_Min]]&lt;Helper_Calculations!$B$3,"low","Medium"))</f>
        <v>low</v>
      </c>
      <c r="K116" s="42">
        <f>VLOOKUP(tblProduction[[#This Row],[Product_Type]],Defect_Table,4,FALSE)</f>
        <v>2.5486680327868851E-2</v>
      </c>
      <c r="L116" s="44">
        <f>VLOOKUP(tblProduction[[#This Row],[Line_ID]],Efficiency_Table,2,FALSE)</f>
        <v>84.103777777777793</v>
      </c>
    </row>
    <row r="117" spans="1:12" x14ac:dyDescent="0.2">
      <c r="A117" s="7" t="s">
        <v>21</v>
      </c>
      <c r="B117" s="6" t="s">
        <v>41</v>
      </c>
      <c r="C117" s="6" t="s">
        <v>43</v>
      </c>
      <c r="D117" s="17" t="s">
        <v>46</v>
      </c>
      <c r="E117" s="8">
        <v>441</v>
      </c>
      <c r="F117" s="8">
        <v>2</v>
      </c>
      <c r="G117" s="8">
        <v>22</v>
      </c>
      <c r="H117" s="6" t="s">
        <v>52</v>
      </c>
      <c r="I117" s="6">
        <v>72.14</v>
      </c>
      <c r="J117" s="6" t="str">
        <f>IF(tblProduction[[#This Row],[Downtime_Min]]&gt;Helper_Calculations!$B$4, "High", IF(tblProduction[[#This Row],[Downtime_Min]]&lt;Helper_Calculations!$B$3,"low","Medium"))</f>
        <v>Medium</v>
      </c>
      <c r="K117" s="42">
        <f>VLOOKUP(tblProduction[[#This Row],[Product_Type]],Defect_Table,4,FALSE)</f>
        <v>2.230142566191446E-2</v>
      </c>
      <c r="L117" s="44">
        <f>VLOOKUP(tblProduction[[#This Row],[Line_ID]],Efficiency_Table,2,FALSE)</f>
        <v>84.346333333333348</v>
      </c>
    </row>
    <row r="118" spans="1:12" x14ac:dyDescent="0.2">
      <c r="A118" s="7" t="s">
        <v>21</v>
      </c>
      <c r="B118" s="6" t="s">
        <v>41</v>
      </c>
      <c r="C118" s="6" t="s">
        <v>44</v>
      </c>
      <c r="D118" s="17" t="s">
        <v>47</v>
      </c>
      <c r="E118" s="8">
        <v>463</v>
      </c>
      <c r="F118" s="8">
        <v>9</v>
      </c>
      <c r="G118" s="8">
        <v>25</v>
      </c>
      <c r="H118" s="6" t="s">
        <v>51</v>
      </c>
      <c r="I118" s="6">
        <v>80.22</v>
      </c>
      <c r="J118" s="6" t="str">
        <f>IF(tblProduction[[#This Row],[Downtime_Min]]&gt;Helper_Calculations!$B$4, "High", IF(tblProduction[[#This Row],[Downtime_Min]]&lt;Helper_Calculations!$B$3,"low","Medium"))</f>
        <v>Medium</v>
      </c>
      <c r="K118" s="42">
        <f>VLOOKUP(tblProduction[[#This Row],[Product_Type]],Defect_Table,4,FALSE)</f>
        <v>2.5486680327868851E-2</v>
      </c>
      <c r="L118" s="44">
        <f>VLOOKUP(tblProduction[[#This Row],[Line_ID]],Efficiency_Table,2,FALSE)</f>
        <v>83.481999999999985</v>
      </c>
    </row>
    <row r="119" spans="1:12" x14ac:dyDescent="0.2">
      <c r="A119" s="7" t="s">
        <v>22</v>
      </c>
      <c r="B119" s="6" t="s">
        <v>39</v>
      </c>
      <c r="C119" s="6" t="s">
        <v>42</v>
      </c>
      <c r="D119" s="17" t="s">
        <v>45</v>
      </c>
      <c r="E119" s="8">
        <v>314</v>
      </c>
      <c r="F119" s="8">
        <v>8</v>
      </c>
      <c r="G119" s="8">
        <v>6</v>
      </c>
      <c r="H119" s="6" t="s">
        <v>57</v>
      </c>
      <c r="I119" s="6">
        <v>73.540000000000006</v>
      </c>
      <c r="J119" s="6" t="str">
        <f>IF(tblProduction[[#This Row],[Downtime_Min]]&gt;Helper_Calculations!$B$4, "High", IF(tblProduction[[#This Row],[Downtime_Min]]&lt;Helper_Calculations!$B$3,"low","Medium"))</f>
        <v>low</v>
      </c>
      <c r="K119" s="42">
        <f>VLOOKUP(tblProduction[[#This Row],[Product_Type]],Defect_Table,4,FALSE)</f>
        <v>2.6075502200401161E-2</v>
      </c>
      <c r="L119" s="44">
        <f>VLOOKUP(tblProduction[[#This Row],[Line_ID]],Efficiency_Table,2,FALSE)</f>
        <v>84.103777777777793</v>
      </c>
    </row>
    <row r="120" spans="1:12" x14ac:dyDescent="0.2">
      <c r="A120" s="7" t="s">
        <v>22</v>
      </c>
      <c r="B120" s="6" t="s">
        <v>39</v>
      </c>
      <c r="C120" s="6" t="s">
        <v>43</v>
      </c>
      <c r="D120" s="17" t="s">
        <v>46</v>
      </c>
      <c r="E120" s="8">
        <v>313</v>
      </c>
      <c r="F120" s="8">
        <v>12</v>
      </c>
      <c r="G120" s="8">
        <v>10</v>
      </c>
      <c r="H120" s="6" t="s">
        <v>55</v>
      </c>
      <c r="I120" s="6">
        <v>96.32</v>
      </c>
      <c r="J120" s="6" t="str">
        <f>IF(tblProduction[[#This Row],[Downtime_Min]]&gt;Helper_Calculations!$B$4, "High", IF(tblProduction[[#This Row],[Downtime_Min]]&lt;Helper_Calculations!$B$3,"low","Medium"))</f>
        <v>low</v>
      </c>
      <c r="K120" s="42">
        <f>VLOOKUP(tblProduction[[#This Row],[Product_Type]],Defect_Table,4,FALSE)</f>
        <v>2.230142566191446E-2</v>
      </c>
      <c r="L120" s="44">
        <f>VLOOKUP(tblProduction[[#This Row],[Line_ID]],Efficiency_Table,2,FALSE)</f>
        <v>84.346333333333348</v>
      </c>
    </row>
    <row r="121" spans="1:12" x14ac:dyDescent="0.2">
      <c r="A121" s="7" t="s">
        <v>22</v>
      </c>
      <c r="B121" s="6" t="s">
        <v>39</v>
      </c>
      <c r="C121" s="6" t="s">
        <v>44</v>
      </c>
      <c r="D121" s="17" t="s">
        <v>46</v>
      </c>
      <c r="E121" s="8">
        <v>416</v>
      </c>
      <c r="F121" s="8">
        <v>3</v>
      </c>
      <c r="G121" s="8">
        <v>9</v>
      </c>
      <c r="H121" s="6" t="s">
        <v>54</v>
      </c>
      <c r="I121" s="6">
        <v>82.7</v>
      </c>
      <c r="J121" s="6" t="str">
        <f>IF(tblProduction[[#This Row],[Downtime_Min]]&gt;Helper_Calculations!$B$4, "High", IF(tblProduction[[#This Row],[Downtime_Min]]&lt;Helper_Calculations!$B$3,"low","Medium"))</f>
        <v>low</v>
      </c>
      <c r="K121" s="42">
        <f>VLOOKUP(tblProduction[[#This Row],[Product_Type]],Defect_Table,4,FALSE)</f>
        <v>2.230142566191446E-2</v>
      </c>
      <c r="L121" s="44">
        <f>VLOOKUP(tblProduction[[#This Row],[Line_ID]],Efficiency_Table,2,FALSE)</f>
        <v>83.481999999999985</v>
      </c>
    </row>
    <row r="122" spans="1:12" x14ac:dyDescent="0.2">
      <c r="A122" s="7" t="s">
        <v>22</v>
      </c>
      <c r="B122" s="6" t="s">
        <v>40</v>
      </c>
      <c r="C122" s="6" t="s">
        <v>42</v>
      </c>
      <c r="D122" s="17" t="s">
        <v>47</v>
      </c>
      <c r="E122" s="8">
        <v>391</v>
      </c>
      <c r="F122" s="8">
        <v>2</v>
      </c>
      <c r="G122" s="8">
        <v>48</v>
      </c>
      <c r="H122" s="6" t="s">
        <v>48</v>
      </c>
      <c r="I122" s="6">
        <v>91.95</v>
      </c>
      <c r="J122" s="6" t="str">
        <f>IF(tblProduction[[#This Row],[Downtime_Min]]&gt;Helper_Calculations!$B$4, "High", IF(tblProduction[[#This Row],[Downtime_Min]]&lt;Helper_Calculations!$B$3,"low","Medium"))</f>
        <v>High</v>
      </c>
      <c r="K122" s="42">
        <f>VLOOKUP(tblProduction[[#This Row],[Product_Type]],Defect_Table,4,FALSE)</f>
        <v>2.5486680327868851E-2</v>
      </c>
      <c r="L122" s="44">
        <f>VLOOKUP(tblProduction[[#This Row],[Line_ID]],Efficiency_Table,2,FALSE)</f>
        <v>84.103777777777793</v>
      </c>
    </row>
    <row r="123" spans="1:12" x14ac:dyDescent="0.2">
      <c r="A123" s="7" t="s">
        <v>22</v>
      </c>
      <c r="B123" s="6" t="s">
        <v>40</v>
      </c>
      <c r="C123" s="6" t="s">
        <v>43</v>
      </c>
      <c r="D123" s="17" t="s">
        <v>47</v>
      </c>
      <c r="E123" s="8">
        <v>235</v>
      </c>
      <c r="F123" s="8">
        <v>17</v>
      </c>
      <c r="G123" s="8">
        <v>48</v>
      </c>
      <c r="H123" s="6" t="s">
        <v>50</v>
      </c>
      <c r="I123" s="6">
        <v>93.29</v>
      </c>
      <c r="J123" s="6" t="str">
        <f>IF(tblProduction[[#This Row],[Downtime_Min]]&gt;Helper_Calculations!$B$4, "High", IF(tblProduction[[#This Row],[Downtime_Min]]&lt;Helper_Calculations!$B$3,"low","Medium"))</f>
        <v>High</v>
      </c>
      <c r="K123" s="42">
        <f>VLOOKUP(tblProduction[[#This Row],[Product_Type]],Defect_Table,4,FALSE)</f>
        <v>2.5486680327868851E-2</v>
      </c>
      <c r="L123" s="44">
        <f>VLOOKUP(tblProduction[[#This Row],[Line_ID]],Efficiency_Table,2,FALSE)</f>
        <v>84.346333333333348</v>
      </c>
    </row>
    <row r="124" spans="1:12" x14ac:dyDescent="0.2">
      <c r="A124" s="7" t="s">
        <v>22</v>
      </c>
      <c r="B124" s="6" t="s">
        <v>40</v>
      </c>
      <c r="C124" s="6" t="s">
        <v>44</v>
      </c>
      <c r="D124" s="17" t="s">
        <v>46</v>
      </c>
      <c r="E124" s="8">
        <v>351</v>
      </c>
      <c r="F124" s="8">
        <v>4</v>
      </c>
      <c r="G124" s="8">
        <v>11</v>
      </c>
      <c r="H124" s="6" t="s">
        <v>49</v>
      </c>
      <c r="I124" s="6">
        <v>82.87</v>
      </c>
      <c r="J124" s="6" t="str">
        <f>IF(tblProduction[[#This Row],[Downtime_Min]]&gt;Helper_Calculations!$B$4, "High", IF(tblProduction[[#This Row],[Downtime_Min]]&lt;Helper_Calculations!$B$3,"low","Medium"))</f>
        <v>low</v>
      </c>
      <c r="K124" s="42">
        <f>VLOOKUP(tblProduction[[#This Row],[Product_Type]],Defect_Table,4,FALSE)</f>
        <v>2.230142566191446E-2</v>
      </c>
      <c r="L124" s="44">
        <f>VLOOKUP(tblProduction[[#This Row],[Line_ID]],Efficiency_Table,2,FALSE)</f>
        <v>83.481999999999985</v>
      </c>
    </row>
    <row r="125" spans="1:12" x14ac:dyDescent="0.2">
      <c r="A125" s="7" t="s">
        <v>22</v>
      </c>
      <c r="B125" s="6" t="s">
        <v>41</v>
      </c>
      <c r="C125" s="6" t="s">
        <v>42</v>
      </c>
      <c r="D125" s="17" t="s">
        <v>46</v>
      </c>
      <c r="E125" s="8">
        <v>212</v>
      </c>
      <c r="F125" s="8">
        <v>2</v>
      </c>
      <c r="G125" s="8">
        <v>40</v>
      </c>
      <c r="H125" s="6" t="s">
        <v>53</v>
      </c>
      <c r="I125" s="6">
        <v>81.33</v>
      </c>
      <c r="J125" s="6" t="str">
        <f>IF(tblProduction[[#This Row],[Downtime_Min]]&gt;Helper_Calculations!$B$4, "High", IF(tblProduction[[#This Row],[Downtime_Min]]&lt;Helper_Calculations!$B$3,"low","Medium"))</f>
        <v>Medium</v>
      </c>
      <c r="K125" s="42">
        <f>VLOOKUP(tblProduction[[#This Row],[Product_Type]],Defect_Table,4,FALSE)</f>
        <v>2.230142566191446E-2</v>
      </c>
      <c r="L125" s="44">
        <f>VLOOKUP(tblProduction[[#This Row],[Line_ID]],Efficiency_Table,2,FALSE)</f>
        <v>84.103777777777793</v>
      </c>
    </row>
    <row r="126" spans="1:12" x14ac:dyDescent="0.2">
      <c r="A126" s="7" t="s">
        <v>22</v>
      </c>
      <c r="B126" s="6" t="s">
        <v>41</v>
      </c>
      <c r="C126" s="6" t="s">
        <v>43</v>
      </c>
      <c r="D126" s="17" t="s">
        <v>46</v>
      </c>
      <c r="E126" s="8">
        <v>261</v>
      </c>
      <c r="F126" s="8">
        <v>19</v>
      </c>
      <c r="G126" s="8">
        <v>47</v>
      </c>
      <c r="H126" s="6" t="s">
        <v>52</v>
      </c>
      <c r="I126" s="6">
        <v>81.69</v>
      </c>
      <c r="J126" s="6" t="str">
        <f>IF(tblProduction[[#This Row],[Downtime_Min]]&gt;Helper_Calculations!$B$4, "High", IF(tblProduction[[#This Row],[Downtime_Min]]&lt;Helper_Calculations!$B$3,"low","Medium"))</f>
        <v>Medium</v>
      </c>
      <c r="K126" s="42">
        <f>VLOOKUP(tblProduction[[#This Row],[Product_Type]],Defect_Table,4,FALSE)</f>
        <v>2.230142566191446E-2</v>
      </c>
      <c r="L126" s="44">
        <f>VLOOKUP(tblProduction[[#This Row],[Line_ID]],Efficiency_Table,2,FALSE)</f>
        <v>84.346333333333348</v>
      </c>
    </row>
    <row r="127" spans="1:12" x14ac:dyDescent="0.2">
      <c r="A127" s="7" t="s">
        <v>22</v>
      </c>
      <c r="B127" s="6" t="s">
        <v>41</v>
      </c>
      <c r="C127" s="6" t="s">
        <v>44</v>
      </c>
      <c r="D127" s="17" t="s">
        <v>46</v>
      </c>
      <c r="E127" s="8">
        <v>386</v>
      </c>
      <c r="F127" s="8">
        <v>18</v>
      </c>
      <c r="G127" s="8">
        <v>48</v>
      </c>
      <c r="H127" s="6" t="s">
        <v>53</v>
      </c>
      <c r="I127" s="6">
        <v>71.599999999999994</v>
      </c>
      <c r="J127" s="6" t="str">
        <f>IF(tblProduction[[#This Row],[Downtime_Min]]&gt;Helper_Calculations!$B$4, "High", IF(tblProduction[[#This Row],[Downtime_Min]]&lt;Helper_Calculations!$B$3,"low","Medium"))</f>
        <v>High</v>
      </c>
      <c r="K127" s="42">
        <f>VLOOKUP(tblProduction[[#This Row],[Product_Type]],Defect_Table,4,FALSE)</f>
        <v>2.230142566191446E-2</v>
      </c>
      <c r="L127" s="44">
        <f>VLOOKUP(tblProduction[[#This Row],[Line_ID]],Efficiency_Table,2,FALSE)</f>
        <v>83.481999999999985</v>
      </c>
    </row>
    <row r="128" spans="1:12" x14ac:dyDescent="0.2">
      <c r="A128" s="7" t="s">
        <v>23</v>
      </c>
      <c r="B128" s="6" t="s">
        <v>39</v>
      </c>
      <c r="C128" s="6" t="s">
        <v>42</v>
      </c>
      <c r="D128" s="17" t="s">
        <v>45</v>
      </c>
      <c r="E128" s="8">
        <v>432</v>
      </c>
      <c r="F128" s="8">
        <v>18</v>
      </c>
      <c r="G128" s="8">
        <v>11</v>
      </c>
      <c r="H128" s="6" t="s">
        <v>48</v>
      </c>
      <c r="I128" s="6">
        <v>80.650000000000006</v>
      </c>
      <c r="J128" s="6" t="str">
        <f>IF(tblProduction[[#This Row],[Downtime_Min]]&gt;Helper_Calculations!$B$4, "High", IF(tblProduction[[#This Row],[Downtime_Min]]&lt;Helper_Calculations!$B$3,"low","Medium"))</f>
        <v>low</v>
      </c>
      <c r="K128" s="42">
        <f>VLOOKUP(tblProduction[[#This Row],[Product_Type]],Defect_Table,4,FALSE)</f>
        <v>2.6075502200401161E-2</v>
      </c>
      <c r="L128" s="44">
        <f>VLOOKUP(tblProduction[[#This Row],[Line_ID]],Efficiency_Table,2,FALSE)</f>
        <v>84.103777777777793</v>
      </c>
    </row>
    <row r="129" spans="1:12" x14ac:dyDescent="0.2">
      <c r="A129" s="7" t="s">
        <v>23</v>
      </c>
      <c r="B129" s="6" t="s">
        <v>39</v>
      </c>
      <c r="C129" s="6" t="s">
        <v>43</v>
      </c>
      <c r="D129" s="17" t="s">
        <v>46</v>
      </c>
      <c r="E129" s="8">
        <v>483</v>
      </c>
      <c r="F129" s="8">
        <v>13</v>
      </c>
      <c r="G129" s="8">
        <v>30</v>
      </c>
      <c r="H129" s="6" t="s">
        <v>48</v>
      </c>
      <c r="I129" s="6">
        <v>98.52</v>
      </c>
      <c r="J129" s="6" t="str">
        <f>IF(tblProduction[[#This Row],[Downtime_Min]]&gt;Helper_Calculations!$B$4, "High", IF(tblProduction[[#This Row],[Downtime_Min]]&lt;Helper_Calculations!$B$3,"low","Medium"))</f>
        <v>Medium</v>
      </c>
      <c r="K129" s="42">
        <f>VLOOKUP(tblProduction[[#This Row],[Product_Type]],Defect_Table,4,FALSE)</f>
        <v>2.230142566191446E-2</v>
      </c>
      <c r="L129" s="44">
        <f>VLOOKUP(tblProduction[[#This Row],[Line_ID]],Efficiency_Table,2,FALSE)</f>
        <v>84.346333333333348</v>
      </c>
    </row>
    <row r="130" spans="1:12" x14ac:dyDescent="0.2">
      <c r="A130" s="7" t="s">
        <v>23</v>
      </c>
      <c r="B130" s="6" t="s">
        <v>39</v>
      </c>
      <c r="C130" s="6" t="s">
        <v>44</v>
      </c>
      <c r="D130" s="17" t="s">
        <v>47</v>
      </c>
      <c r="E130" s="8">
        <v>343</v>
      </c>
      <c r="F130" s="8">
        <v>4</v>
      </c>
      <c r="G130" s="8">
        <v>34</v>
      </c>
      <c r="H130" s="6" t="s">
        <v>50</v>
      </c>
      <c r="I130" s="6">
        <v>88.07</v>
      </c>
      <c r="J130" s="6" t="str">
        <f>IF(tblProduction[[#This Row],[Downtime_Min]]&gt;Helper_Calculations!$B$4, "High", IF(tblProduction[[#This Row],[Downtime_Min]]&lt;Helper_Calculations!$B$3,"low","Medium"))</f>
        <v>Medium</v>
      </c>
      <c r="K130" s="42">
        <f>VLOOKUP(tblProduction[[#This Row],[Product_Type]],Defect_Table,4,FALSE)</f>
        <v>2.5486680327868851E-2</v>
      </c>
      <c r="L130" s="44">
        <f>VLOOKUP(tblProduction[[#This Row],[Line_ID]],Efficiency_Table,2,FALSE)</f>
        <v>83.481999999999985</v>
      </c>
    </row>
    <row r="131" spans="1:12" x14ac:dyDescent="0.2">
      <c r="A131" s="7" t="s">
        <v>23</v>
      </c>
      <c r="B131" s="6" t="s">
        <v>40</v>
      </c>
      <c r="C131" s="6" t="s">
        <v>42</v>
      </c>
      <c r="D131" s="17" t="s">
        <v>47</v>
      </c>
      <c r="E131" s="8">
        <v>252</v>
      </c>
      <c r="F131" s="8">
        <v>15</v>
      </c>
      <c r="G131" s="8">
        <v>56</v>
      </c>
      <c r="H131" s="6" t="s">
        <v>53</v>
      </c>
      <c r="I131" s="6">
        <v>73.400000000000006</v>
      </c>
      <c r="J131" s="6" t="str">
        <f>IF(tblProduction[[#This Row],[Downtime_Min]]&gt;Helper_Calculations!$B$4, "High", IF(tblProduction[[#This Row],[Downtime_Min]]&lt;Helper_Calculations!$B$3,"low","Medium"))</f>
        <v>High</v>
      </c>
      <c r="K131" s="42">
        <f>VLOOKUP(tblProduction[[#This Row],[Product_Type]],Defect_Table,4,FALSE)</f>
        <v>2.5486680327868851E-2</v>
      </c>
      <c r="L131" s="44">
        <f>VLOOKUP(tblProduction[[#This Row],[Line_ID]],Efficiency_Table,2,FALSE)</f>
        <v>84.103777777777793</v>
      </c>
    </row>
    <row r="132" spans="1:12" x14ac:dyDescent="0.2">
      <c r="A132" s="7" t="s">
        <v>23</v>
      </c>
      <c r="B132" s="6" t="s">
        <v>40</v>
      </c>
      <c r="C132" s="6" t="s">
        <v>43</v>
      </c>
      <c r="D132" s="17" t="s">
        <v>47</v>
      </c>
      <c r="E132" s="8">
        <v>380</v>
      </c>
      <c r="F132" s="8">
        <v>9</v>
      </c>
      <c r="G132" s="8">
        <v>57</v>
      </c>
      <c r="H132" s="6" t="s">
        <v>51</v>
      </c>
      <c r="I132" s="6">
        <v>71.73</v>
      </c>
      <c r="J132" s="6" t="str">
        <f>IF(tblProduction[[#This Row],[Downtime_Min]]&gt;Helper_Calculations!$B$4, "High", IF(tblProduction[[#This Row],[Downtime_Min]]&lt;Helper_Calculations!$B$3,"low","Medium"))</f>
        <v>High</v>
      </c>
      <c r="K132" s="42">
        <f>VLOOKUP(tblProduction[[#This Row],[Product_Type]],Defect_Table,4,FALSE)</f>
        <v>2.5486680327868851E-2</v>
      </c>
      <c r="L132" s="44">
        <f>VLOOKUP(tblProduction[[#This Row],[Line_ID]],Efficiency_Table,2,FALSE)</f>
        <v>84.346333333333348</v>
      </c>
    </row>
    <row r="133" spans="1:12" x14ac:dyDescent="0.2">
      <c r="A133" s="7" t="s">
        <v>23</v>
      </c>
      <c r="B133" s="6" t="s">
        <v>40</v>
      </c>
      <c r="C133" s="6" t="s">
        <v>44</v>
      </c>
      <c r="D133" s="17" t="s">
        <v>45</v>
      </c>
      <c r="E133" s="8">
        <v>422</v>
      </c>
      <c r="F133" s="8">
        <v>4</v>
      </c>
      <c r="G133" s="8">
        <v>34</v>
      </c>
      <c r="H133" s="6" t="s">
        <v>57</v>
      </c>
      <c r="I133" s="6">
        <v>96.63</v>
      </c>
      <c r="J133" s="6" t="str">
        <f>IF(tblProduction[[#This Row],[Downtime_Min]]&gt;Helper_Calculations!$B$4, "High", IF(tblProduction[[#This Row],[Downtime_Min]]&lt;Helper_Calculations!$B$3,"low","Medium"))</f>
        <v>Medium</v>
      </c>
      <c r="K133" s="42">
        <f>VLOOKUP(tblProduction[[#This Row],[Product_Type]],Defect_Table,4,FALSE)</f>
        <v>2.6075502200401161E-2</v>
      </c>
      <c r="L133" s="44">
        <f>VLOOKUP(tblProduction[[#This Row],[Line_ID]],Efficiency_Table,2,FALSE)</f>
        <v>83.481999999999985</v>
      </c>
    </row>
    <row r="134" spans="1:12" x14ac:dyDescent="0.2">
      <c r="A134" s="7" t="s">
        <v>23</v>
      </c>
      <c r="B134" s="6" t="s">
        <v>41</v>
      </c>
      <c r="C134" s="6" t="s">
        <v>42</v>
      </c>
      <c r="D134" s="17" t="s">
        <v>45</v>
      </c>
      <c r="E134" s="8">
        <v>434</v>
      </c>
      <c r="F134" s="8">
        <v>10</v>
      </c>
      <c r="G134" s="8">
        <v>17</v>
      </c>
      <c r="H134" s="6" t="s">
        <v>48</v>
      </c>
      <c r="I134" s="6">
        <v>99.06</v>
      </c>
      <c r="J134" s="6" t="str">
        <f>IF(tblProduction[[#This Row],[Downtime_Min]]&gt;Helper_Calculations!$B$4, "High", IF(tblProduction[[#This Row],[Downtime_Min]]&lt;Helper_Calculations!$B$3,"low","Medium"))</f>
        <v>low</v>
      </c>
      <c r="K134" s="42">
        <f>VLOOKUP(tblProduction[[#This Row],[Product_Type]],Defect_Table,4,FALSE)</f>
        <v>2.6075502200401161E-2</v>
      </c>
      <c r="L134" s="44">
        <f>VLOOKUP(tblProduction[[#This Row],[Line_ID]],Efficiency_Table,2,FALSE)</f>
        <v>84.103777777777793</v>
      </c>
    </row>
    <row r="135" spans="1:12" x14ac:dyDescent="0.2">
      <c r="A135" s="7" t="s">
        <v>23</v>
      </c>
      <c r="B135" s="6" t="s">
        <v>41</v>
      </c>
      <c r="C135" s="6" t="s">
        <v>43</v>
      </c>
      <c r="D135" s="17" t="s">
        <v>46</v>
      </c>
      <c r="E135" s="8">
        <v>208</v>
      </c>
      <c r="F135" s="8">
        <v>9</v>
      </c>
      <c r="G135" s="8">
        <v>57</v>
      </c>
      <c r="H135" s="6" t="s">
        <v>55</v>
      </c>
      <c r="I135" s="6">
        <v>88.55</v>
      </c>
      <c r="J135" s="6" t="str">
        <f>IF(tblProduction[[#This Row],[Downtime_Min]]&gt;Helper_Calculations!$B$4, "High", IF(tblProduction[[#This Row],[Downtime_Min]]&lt;Helper_Calculations!$B$3,"low","Medium"))</f>
        <v>High</v>
      </c>
      <c r="K135" s="42">
        <f>VLOOKUP(tblProduction[[#This Row],[Product_Type]],Defect_Table,4,FALSE)</f>
        <v>2.230142566191446E-2</v>
      </c>
      <c r="L135" s="44">
        <f>VLOOKUP(tblProduction[[#This Row],[Line_ID]],Efficiency_Table,2,FALSE)</f>
        <v>84.346333333333348</v>
      </c>
    </row>
    <row r="136" spans="1:12" x14ac:dyDescent="0.2">
      <c r="A136" s="7" t="s">
        <v>23</v>
      </c>
      <c r="B136" s="6" t="s">
        <v>41</v>
      </c>
      <c r="C136" s="6" t="s">
        <v>44</v>
      </c>
      <c r="D136" s="17" t="s">
        <v>46</v>
      </c>
      <c r="E136" s="8">
        <v>452</v>
      </c>
      <c r="F136" s="8">
        <v>5</v>
      </c>
      <c r="G136" s="8">
        <v>6</v>
      </c>
      <c r="H136" s="6" t="s">
        <v>55</v>
      </c>
      <c r="I136" s="6">
        <v>82.78</v>
      </c>
      <c r="J136" s="6" t="str">
        <f>IF(tblProduction[[#This Row],[Downtime_Min]]&gt;Helper_Calculations!$B$4, "High", IF(tblProduction[[#This Row],[Downtime_Min]]&lt;Helper_Calculations!$B$3,"low","Medium"))</f>
        <v>low</v>
      </c>
      <c r="K136" s="42">
        <f>VLOOKUP(tblProduction[[#This Row],[Product_Type]],Defect_Table,4,FALSE)</f>
        <v>2.230142566191446E-2</v>
      </c>
      <c r="L136" s="44">
        <f>VLOOKUP(tblProduction[[#This Row],[Line_ID]],Efficiency_Table,2,FALSE)</f>
        <v>83.481999999999985</v>
      </c>
    </row>
    <row r="137" spans="1:12" x14ac:dyDescent="0.2">
      <c r="A137" s="7" t="s">
        <v>24</v>
      </c>
      <c r="B137" s="6" t="s">
        <v>39</v>
      </c>
      <c r="C137" s="6" t="s">
        <v>42</v>
      </c>
      <c r="D137" s="17" t="s">
        <v>46</v>
      </c>
      <c r="E137" s="8">
        <v>367</v>
      </c>
      <c r="F137" s="8">
        <v>9</v>
      </c>
      <c r="G137" s="8">
        <v>8</v>
      </c>
      <c r="H137" s="6" t="s">
        <v>55</v>
      </c>
      <c r="I137" s="6">
        <v>94.66</v>
      </c>
      <c r="J137" s="6" t="str">
        <f>IF(tblProduction[[#This Row],[Downtime_Min]]&gt;Helper_Calculations!$B$4, "High", IF(tblProduction[[#This Row],[Downtime_Min]]&lt;Helper_Calculations!$B$3,"low","Medium"))</f>
        <v>low</v>
      </c>
      <c r="K137" s="42">
        <f>VLOOKUP(tblProduction[[#This Row],[Product_Type]],Defect_Table,4,FALSE)</f>
        <v>2.230142566191446E-2</v>
      </c>
      <c r="L137" s="44">
        <f>VLOOKUP(tblProduction[[#This Row],[Line_ID]],Efficiency_Table,2,FALSE)</f>
        <v>84.103777777777793</v>
      </c>
    </row>
    <row r="138" spans="1:12" x14ac:dyDescent="0.2">
      <c r="A138" s="7" t="s">
        <v>24</v>
      </c>
      <c r="B138" s="6" t="s">
        <v>39</v>
      </c>
      <c r="C138" s="6" t="s">
        <v>43</v>
      </c>
      <c r="D138" s="17" t="s">
        <v>46</v>
      </c>
      <c r="E138" s="8">
        <v>321</v>
      </c>
      <c r="F138" s="8">
        <v>1</v>
      </c>
      <c r="G138" s="8">
        <v>4</v>
      </c>
      <c r="H138" s="6" t="s">
        <v>51</v>
      </c>
      <c r="I138" s="6">
        <v>85.4</v>
      </c>
      <c r="J138" s="6" t="str">
        <f>IF(tblProduction[[#This Row],[Downtime_Min]]&gt;Helper_Calculations!$B$4, "High", IF(tblProduction[[#This Row],[Downtime_Min]]&lt;Helper_Calculations!$B$3,"low","Medium"))</f>
        <v>low</v>
      </c>
      <c r="K138" s="42">
        <f>VLOOKUP(tblProduction[[#This Row],[Product_Type]],Defect_Table,4,FALSE)</f>
        <v>2.230142566191446E-2</v>
      </c>
      <c r="L138" s="44">
        <f>VLOOKUP(tblProduction[[#This Row],[Line_ID]],Efficiency_Table,2,FALSE)</f>
        <v>84.346333333333348</v>
      </c>
    </row>
    <row r="139" spans="1:12" x14ac:dyDescent="0.2">
      <c r="A139" s="7" t="s">
        <v>24</v>
      </c>
      <c r="B139" s="6" t="s">
        <v>39</v>
      </c>
      <c r="C139" s="6" t="s">
        <v>44</v>
      </c>
      <c r="D139" s="17" t="s">
        <v>46</v>
      </c>
      <c r="E139" s="8">
        <v>335</v>
      </c>
      <c r="F139" s="8">
        <v>15</v>
      </c>
      <c r="G139" s="8">
        <v>44</v>
      </c>
      <c r="H139" s="6" t="s">
        <v>51</v>
      </c>
      <c r="I139" s="6">
        <v>81.12</v>
      </c>
      <c r="J139" s="6" t="str">
        <f>IF(tblProduction[[#This Row],[Downtime_Min]]&gt;Helper_Calculations!$B$4, "High", IF(tblProduction[[#This Row],[Downtime_Min]]&lt;Helper_Calculations!$B$3,"low","Medium"))</f>
        <v>Medium</v>
      </c>
      <c r="K139" s="42">
        <f>VLOOKUP(tblProduction[[#This Row],[Product_Type]],Defect_Table,4,FALSE)</f>
        <v>2.230142566191446E-2</v>
      </c>
      <c r="L139" s="44">
        <f>VLOOKUP(tblProduction[[#This Row],[Line_ID]],Efficiency_Table,2,FALSE)</f>
        <v>83.481999999999985</v>
      </c>
    </row>
    <row r="140" spans="1:12" x14ac:dyDescent="0.2">
      <c r="A140" s="7" t="s">
        <v>24</v>
      </c>
      <c r="B140" s="6" t="s">
        <v>40</v>
      </c>
      <c r="C140" s="6" t="s">
        <v>42</v>
      </c>
      <c r="D140" s="17" t="s">
        <v>45</v>
      </c>
      <c r="E140" s="8">
        <v>344</v>
      </c>
      <c r="F140" s="8">
        <v>6</v>
      </c>
      <c r="G140" s="8">
        <v>24</v>
      </c>
      <c r="H140" s="6" t="s">
        <v>51</v>
      </c>
      <c r="I140" s="6">
        <v>87.76</v>
      </c>
      <c r="J140" s="6" t="str">
        <f>IF(tblProduction[[#This Row],[Downtime_Min]]&gt;Helper_Calculations!$B$4, "High", IF(tblProduction[[#This Row],[Downtime_Min]]&lt;Helper_Calculations!$B$3,"low","Medium"))</f>
        <v>Medium</v>
      </c>
      <c r="K140" s="42">
        <f>VLOOKUP(tblProduction[[#This Row],[Product_Type]],Defect_Table,4,FALSE)</f>
        <v>2.6075502200401161E-2</v>
      </c>
      <c r="L140" s="44">
        <f>VLOOKUP(tblProduction[[#This Row],[Line_ID]],Efficiency_Table,2,FALSE)</f>
        <v>84.103777777777793</v>
      </c>
    </row>
    <row r="141" spans="1:12" x14ac:dyDescent="0.2">
      <c r="A141" s="7" t="s">
        <v>24</v>
      </c>
      <c r="B141" s="6" t="s">
        <v>40</v>
      </c>
      <c r="C141" s="6" t="s">
        <v>43</v>
      </c>
      <c r="D141" s="17" t="s">
        <v>46</v>
      </c>
      <c r="E141" s="8">
        <v>491</v>
      </c>
      <c r="F141" s="8">
        <v>5</v>
      </c>
      <c r="G141" s="8">
        <v>59</v>
      </c>
      <c r="H141" s="6" t="s">
        <v>56</v>
      </c>
      <c r="I141" s="6">
        <v>72.510000000000005</v>
      </c>
      <c r="J141" s="6" t="str">
        <f>IF(tblProduction[[#This Row],[Downtime_Min]]&gt;Helper_Calculations!$B$4, "High", IF(tblProduction[[#This Row],[Downtime_Min]]&lt;Helper_Calculations!$B$3,"low","Medium"))</f>
        <v>High</v>
      </c>
      <c r="K141" s="42">
        <f>VLOOKUP(tblProduction[[#This Row],[Product_Type]],Defect_Table,4,FALSE)</f>
        <v>2.230142566191446E-2</v>
      </c>
      <c r="L141" s="44">
        <f>VLOOKUP(tblProduction[[#This Row],[Line_ID]],Efficiency_Table,2,FALSE)</f>
        <v>84.346333333333348</v>
      </c>
    </row>
    <row r="142" spans="1:12" x14ac:dyDescent="0.2">
      <c r="A142" s="7" t="s">
        <v>24</v>
      </c>
      <c r="B142" s="6" t="s">
        <v>40</v>
      </c>
      <c r="C142" s="6" t="s">
        <v>44</v>
      </c>
      <c r="D142" s="17" t="s">
        <v>46</v>
      </c>
      <c r="E142" s="8">
        <v>381</v>
      </c>
      <c r="F142" s="8">
        <v>6</v>
      </c>
      <c r="G142" s="8">
        <v>26</v>
      </c>
      <c r="H142" s="6" t="s">
        <v>55</v>
      </c>
      <c r="I142" s="6">
        <v>77.459999999999994</v>
      </c>
      <c r="J142" s="6" t="str">
        <f>IF(tblProduction[[#This Row],[Downtime_Min]]&gt;Helper_Calculations!$B$4, "High", IF(tblProduction[[#This Row],[Downtime_Min]]&lt;Helper_Calculations!$B$3,"low","Medium"))</f>
        <v>Medium</v>
      </c>
      <c r="K142" s="42">
        <f>VLOOKUP(tblProduction[[#This Row],[Product_Type]],Defect_Table,4,FALSE)</f>
        <v>2.230142566191446E-2</v>
      </c>
      <c r="L142" s="44">
        <f>VLOOKUP(tblProduction[[#This Row],[Line_ID]],Efficiency_Table,2,FALSE)</f>
        <v>83.481999999999985</v>
      </c>
    </row>
    <row r="143" spans="1:12" x14ac:dyDescent="0.2">
      <c r="A143" s="7" t="s">
        <v>24</v>
      </c>
      <c r="B143" s="6" t="s">
        <v>41</v>
      </c>
      <c r="C143" s="6" t="s">
        <v>42</v>
      </c>
      <c r="D143" s="17" t="s">
        <v>46</v>
      </c>
      <c r="E143" s="8">
        <v>218</v>
      </c>
      <c r="F143" s="8">
        <v>6</v>
      </c>
      <c r="G143" s="8">
        <v>2</v>
      </c>
      <c r="H143" s="6" t="s">
        <v>52</v>
      </c>
      <c r="I143" s="6">
        <v>77.61</v>
      </c>
      <c r="J143" s="6" t="str">
        <f>IF(tblProduction[[#This Row],[Downtime_Min]]&gt;Helper_Calculations!$B$4, "High", IF(tblProduction[[#This Row],[Downtime_Min]]&lt;Helper_Calculations!$B$3,"low","Medium"))</f>
        <v>low</v>
      </c>
      <c r="K143" s="42">
        <f>VLOOKUP(tblProduction[[#This Row],[Product_Type]],Defect_Table,4,FALSE)</f>
        <v>2.230142566191446E-2</v>
      </c>
      <c r="L143" s="44">
        <f>VLOOKUP(tblProduction[[#This Row],[Line_ID]],Efficiency_Table,2,FALSE)</f>
        <v>84.103777777777793</v>
      </c>
    </row>
    <row r="144" spans="1:12" x14ac:dyDescent="0.2">
      <c r="A144" s="7" t="s">
        <v>24</v>
      </c>
      <c r="B144" s="6" t="s">
        <v>41</v>
      </c>
      <c r="C144" s="6" t="s">
        <v>43</v>
      </c>
      <c r="D144" s="17" t="s">
        <v>47</v>
      </c>
      <c r="E144" s="8">
        <v>441</v>
      </c>
      <c r="F144" s="8">
        <v>19</v>
      </c>
      <c r="G144" s="8">
        <v>27</v>
      </c>
      <c r="H144" s="6" t="s">
        <v>55</v>
      </c>
      <c r="I144" s="6">
        <v>93.02</v>
      </c>
      <c r="J144" s="6" t="str">
        <f>IF(tblProduction[[#This Row],[Downtime_Min]]&gt;Helper_Calculations!$B$4, "High", IF(tblProduction[[#This Row],[Downtime_Min]]&lt;Helper_Calculations!$B$3,"low","Medium"))</f>
        <v>Medium</v>
      </c>
      <c r="K144" s="42">
        <f>VLOOKUP(tblProduction[[#This Row],[Product_Type]],Defect_Table,4,FALSE)</f>
        <v>2.5486680327868851E-2</v>
      </c>
      <c r="L144" s="44">
        <f>VLOOKUP(tblProduction[[#This Row],[Line_ID]],Efficiency_Table,2,FALSE)</f>
        <v>84.346333333333348</v>
      </c>
    </row>
    <row r="145" spans="1:12" x14ac:dyDescent="0.2">
      <c r="A145" s="7" t="s">
        <v>24</v>
      </c>
      <c r="B145" s="6" t="s">
        <v>41</v>
      </c>
      <c r="C145" s="6" t="s">
        <v>44</v>
      </c>
      <c r="D145" s="17" t="s">
        <v>47</v>
      </c>
      <c r="E145" s="8">
        <v>200</v>
      </c>
      <c r="F145" s="8">
        <v>2</v>
      </c>
      <c r="G145" s="8">
        <v>12</v>
      </c>
      <c r="H145" s="6" t="s">
        <v>52</v>
      </c>
      <c r="I145" s="6">
        <v>77.13</v>
      </c>
      <c r="J145" s="6" t="str">
        <f>IF(tblProduction[[#This Row],[Downtime_Min]]&gt;Helper_Calculations!$B$4, "High", IF(tblProduction[[#This Row],[Downtime_Min]]&lt;Helper_Calculations!$B$3,"low","Medium"))</f>
        <v>low</v>
      </c>
      <c r="K145" s="42">
        <f>VLOOKUP(tblProduction[[#This Row],[Product_Type]],Defect_Table,4,FALSE)</f>
        <v>2.5486680327868851E-2</v>
      </c>
      <c r="L145" s="44">
        <f>VLOOKUP(tblProduction[[#This Row],[Line_ID]],Efficiency_Table,2,FALSE)</f>
        <v>83.481999999999985</v>
      </c>
    </row>
    <row r="146" spans="1:12" x14ac:dyDescent="0.2">
      <c r="A146" s="7" t="s">
        <v>25</v>
      </c>
      <c r="B146" s="6" t="s">
        <v>39</v>
      </c>
      <c r="C146" s="6" t="s">
        <v>42</v>
      </c>
      <c r="D146" s="17" t="s">
        <v>47</v>
      </c>
      <c r="E146" s="8">
        <v>390</v>
      </c>
      <c r="F146" s="8">
        <v>16</v>
      </c>
      <c r="G146" s="8">
        <v>24</v>
      </c>
      <c r="H146" s="6" t="s">
        <v>55</v>
      </c>
      <c r="I146" s="6">
        <v>96.06</v>
      </c>
      <c r="J146" s="6" t="str">
        <f>IF(tblProduction[[#This Row],[Downtime_Min]]&gt;Helper_Calculations!$B$4, "High", IF(tblProduction[[#This Row],[Downtime_Min]]&lt;Helper_Calculations!$B$3,"low","Medium"))</f>
        <v>Medium</v>
      </c>
      <c r="K146" s="42">
        <f>VLOOKUP(tblProduction[[#This Row],[Product_Type]],Defect_Table,4,FALSE)</f>
        <v>2.5486680327868851E-2</v>
      </c>
      <c r="L146" s="44">
        <f>VLOOKUP(tblProduction[[#This Row],[Line_ID]],Efficiency_Table,2,FALSE)</f>
        <v>84.103777777777793</v>
      </c>
    </row>
    <row r="147" spans="1:12" x14ac:dyDescent="0.2">
      <c r="A147" s="7" t="s">
        <v>25</v>
      </c>
      <c r="B147" s="6" t="s">
        <v>39</v>
      </c>
      <c r="C147" s="6" t="s">
        <v>43</v>
      </c>
      <c r="D147" s="17" t="s">
        <v>45</v>
      </c>
      <c r="E147" s="8">
        <v>316</v>
      </c>
      <c r="F147" s="8">
        <v>5</v>
      </c>
      <c r="G147" s="8">
        <v>57</v>
      </c>
      <c r="H147" s="6" t="s">
        <v>52</v>
      </c>
      <c r="I147" s="6">
        <v>70.36</v>
      </c>
      <c r="J147" s="6" t="str">
        <f>IF(tblProduction[[#This Row],[Downtime_Min]]&gt;Helper_Calculations!$B$4, "High", IF(tblProduction[[#This Row],[Downtime_Min]]&lt;Helper_Calculations!$B$3,"low","Medium"))</f>
        <v>High</v>
      </c>
      <c r="K147" s="42">
        <f>VLOOKUP(tblProduction[[#This Row],[Product_Type]],Defect_Table,4,FALSE)</f>
        <v>2.6075502200401161E-2</v>
      </c>
      <c r="L147" s="44">
        <f>VLOOKUP(tblProduction[[#This Row],[Line_ID]],Efficiency_Table,2,FALSE)</f>
        <v>84.346333333333348</v>
      </c>
    </row>
    <row r="148" spans="1:12" x14ac:dyDescent="0.2">
      <c r="A148" s="7" t="s">
        <v>25</v>
      </c>
      <c r="B148" s="6" t="s">
        <v>39</v>
      </c>
      <c r="C148" s="6" t="s">
        <v>44</v>
      </c>
      <c r="D148" s="17" t="s">
        <v>46</v>
      </c>
      <c r="E148" s="8">
        <v>359</v>
      </c>
      <c r="F148" s="8">
        <v>12</v>
      </c>
      <c r="G148" s="8">
        <v>46</v>
      </c>
      <c r="H148" s="6" t="s">
        <v>49</v>
      </c>
      <c r="I148" s="6">
        <v>96.73</v>
      </c>
      <c r="J148" s="6" t="str">
        <f>IF(tblProduction[[#This Row],[Downtime_Min]]&gt;Helper_Calculations!$B$4, "High", IF(tblProduction[[#This Row],[Downtime_Min]]&lt;Helper_Calculations!$B$3,"low","Medium"))</f>
        <v>Medium</v>
      </c>
      <c r="K148" s="42">
        <f>VLOOKUP(tblProduction[[#This Row],[Product_Type]],Defect_Table,4,FALSE)</f>
        <v>2.230142566191446E-2</v>
      </c>
      <c r="L148" s="44">
        <f>VLOOKUP(tblProduction[[#This Row],[Line_ID]],Efficiency_Table,2,FALSE)</f>
        <v>83.481999999999985</v>
      </c>
    </row>
    <row r="149" spans="1:12" x14ac:dyDescent="0.2">
      <c r="A149" s="7" t="s">
        <v>25</v>
      </c>
      <c r="B149" s="6" t="s">
        <v>40</v>
      </c>
      <c r="C149" s="6" t="s">
        <v>42</v>
      </c>
      <c r="D149" s="17" t="s">
        <v>45</v>
      </c>
      <c r="E149" s="8">
        <v>412</v>
      </c>
      <c r="F149" s="8">
        <v>10</v>
      </c>
      <c r="G149" s="8">
        <v>59</v>
      </c>
      <c r="H149" s="6" t="s">
        <v>48</v>
      </c>
      <c r="I149" s="6">
        <v>72.209999999999994</v>
      </c>
      <c r="J149" s="6" t="str">
        <f>IF(tblProduction[[#This Row],[Downtime_Min]]&gt;Helper_Calculations!$B$4, "High", IF(tblProduction[[#This Row],[Downtime_Min]]&lt;Helper_Calculations!$B$3,"low","Medium"))</f>
        <v>High</v>
      </c>
      <c r="K149" s="42">
        <f>VLOOKUP(tblProduction[[#This Row],[Product_Type]],Defect_Table,4,FALSE)</f>
        <v>2.6075502200401161E-2</v>
      </c>
      <c r="L149" s="44">
        <f>VLOOKUP(tblProduction[[#This Row],[Line_ID]],Efficiency_Table,2,FALSE)</f>
        <v>84.103777777777793</v>
      </c>
    </row>
    <row r="150" spans="1:12" x14ac:dyDescent="0.2">
      <c r="A150" s="7" t="s">
        <v>25</v>
      </c>
      <c r="B150" s="6" t="s">
        <v>40</v>
      </c>
      <c r="C150" s="6" t="s">
        <v>43</v>
      </c>
      <c r="D150" s="17" t="s">
        <v>46</v>
      </c>
      <c r="E150" s="8">
        <v>426</v>
      </c>
      <c r="F150" s="8">
        <v>18</v>
      </c>
      <c r="G150" s="8">
        <v>19</v>
      </c>
      <c r="H150" s="6" t="s">
        <v>54</v>
      </c>
      <c r="I150" s="6">
        <v>72.260000000000005</v>
      </c>
      <c r="J150" s="6" t="str">
        <f>IF(tblProduction[[#This Row],[Downtime_Min]]&gt;Helper_Calculations!$B$4, "High", IF(tblProduction[[#This Row],[Downtime_Min]]&lt;Helper_Calculations!$B$3,"low","Medium"))</f>
        <v>Medium</v>
      </c>
      <c r="K150" s="42">
        <f>VLOOKUP(tblProduction[[#This Row],[Product_Type]],Defect_Table,4,FALSE)</f>
        <v>2.230142566191446E-2</v>
      </c>
      <c r="L150" s="44">
        <f>VLOOKUP(tblProduction[[#This Row],[Line_ID]],Efficiency_Table,2,FALSE)</f>
        <v>84.346333333333348</v>
      </c>
    </row>
    <row r="151" spans="1:12" x14ac:dyDescent="0.2">
      <c r="A151" s="7" t="s">
        <v>25</v>
      </c>
      <c r="B151" s="6" t="s">
        <v>40</v>
      </c>
      <c r="C151" s="6" t="s">
        <v>44</v>
      </c>
      <c r="D151" s="17" t="s">
        <v>47</v>
      </c>
      <c r="E151" s="8">
        <v>246</v>
      </c>
      <c r="F151" s="8">
        <v>8</v>
      </c>
      <c r="G151" s="8">
        <v>48</v>
      </c>
      <c r="H151" s="6" t="s">
        <v>50</v>
      </c>
      <c r="I151" s="6">
        <v>90.87</v>
      </c>
      <c r="J151" s="6" t="str">
        <f>IF(tblProduction[[#This Row],[Downtime_Min]]&gt;Helper_Calculations!$B$4, "High", IF(tblProduction[[#This Row],[Downtime_Min]]&lt;Helper_Calculations!$B$3,"low","Medium"))</f>
        <v>High</v>
      </c>
      <c r="K151" s="42">
        <f>VLOOKUP(tblProduction[[#This Row],[Product_Type]],Defect_Table,4,FALSE)</f>
        <v>2.5486680327868851E-2</v>
      </c>
      <c r="L151" s="44">
        <f>VLOOKUP(tblProduction[[#This Row],[Line_ID]],Efficiency_Table,2,FALSE)</f>
        <v>83.481999999999985</v>
      </c>
    </row>
    <row r="152" spans="1:12" x14ac:dyDescent="0.2">
      <c r="A152" s="7" t="s">
        <v>25</v>
      </c>
      <c r="B152" s="6" t="s">
        <v>41</v>
      </c>
      <c r="C152" s="6" t="s">
        <v>42</v>
      </c>
      <c r="D152" s="17" t="s">
        <v>47</v>
      </c>
      <c r="E152" s="8">
        <v>200</v>
      </c>
      <c r="F152" s="8">
        <v>2</v>
      </c>
      <c r="G152" s="8">
        <v>15</v>
      </c>
      <c r="H152" s="6" t="s">
        <v>51</v>
      </c>
      <c r="I152" s="6">
        <v>92.11</v>
      </c>
      <c r="J152" s="6" t="str">
        <f>IF(tblProduction[[#This Row],[Downtime_Min]]&gt;Helper_Calculations!$B$4, "High", IF(tblProduction[[#This Row],[Downtime_Min]]&lt;Helper_Calculations!$B$3,"low","Medium"))</f>
        <v>low</v>
      </c>
      <c r="K152" s="42">
        <f>VLOOKUP(tblProduction[[#This Row],[Product_Type]],Defect_Table,4,FALSE)</f>
        <v>2.5486680327868851E-2</v>
      </c>
      <c r="L152" s="44">
        <f>VLOOKUP(tblProduction[[#This Row],[Line_ID]],Efficiency_Table,2,FALSE)</f>
        <v>84.103777777777793</v>
      </c>
    </row>
    <row r="153" spans="1:12" x14ac:dyDescent="0.2">
      <c r="A153" s="7" t="s">
        <v>25</v>
      </c>
      <c r="B153" s="6" t="s">
        <v>41</v>
      </c>
      <c r="C153" s="6" t="s">
        <v>43</v>
      </c>
      <c r="D153" s="17" t="s">
        <v>45</v>
      </c>
      <c r="E153" s="8">
        <v>211</v>
      </c>
      <c r="F153" s="8">
        <v>9</v>
      </c>
      <c r="G153" s="8">
        <v>31</v>
      </c>
      <c r="H153" s="6" t="s">
        <v>51</v>
      </c>
      <c r="I153" s="6">
        <v>71.739999999999995</v>
      </c>
      <c r="J153" s="6" t="str">
        <f>IF(tblProduction[[#This Row],[Downtime_Min]]&gt;Helper_Calculations!$B$4, "High", IF(tblProduction[[#This Row],[Downtime_Min]]&lt;Helper_Calculations!$B$3,"low","Medium"))</f>
        <v>Medium</v>
      </c>
      <c r="K153" s="42">
        <f>VLOOKUP(tblProduction[[#This Row],[Product_Type]],Defect_Table,4,FALSE)</f>
        <v>2.6075502200401161E-2</v>
      </c>
      <c r="L153" s="44">
        <f>VLOOKUP(tblProduction[[#This Row],[Line_ID]],Efficiency_Table,2,FALSE)</f>
        <v>84.346333333333348</v>
      </c>
    </row>
    <row r="154" spans="1:12" x14ac:dyDescent="0.2">
      <c r="A154" s="7" t="s">
        <v>25</v>
      </c>
      <c r="B154" s="6" t="s">
        <v>41</v>
      </c>
      <c r="C154" s="6" t="s">
        <v>44</v>
      </c>
      <c r="D154" s="17" t="s">
        <v>45</v>
      </c>
      <c r="E154" s="8">
        <v>355</v>
      </c>
      <c r="F154" s="8">
        <v>7</v>
      </c>
      <c r="G154" s="8">
        <v>57</v>
      </c>
      <c r="H154" s="6" t="s">
        <v>50</v>
      </c>
      <c r="I154" s="6">
        <v>75.64</v>
      </c>
      <c r="J154" s="6" t="str">
        <f>IF(tblProduction[[#This Row],[Downtime_Min]]&gt;Helper_Calculations!$B$4, "High", IF(tblProduction[[#This Row],[Downtime_Min]]&lt;Helper_Calculations!$B$3,"low","Medium"))</f>
        <v>High</v>
      </c>
      <c r="K154" s="42">
        <f>VLOOKUP(tblProduction[[#This Row],[Product_Type]],Defect_Table,4,FALSE)</f>
        <v>2.6075502200401161E-2</v>
      </c>
      <c r="L154" s="44">
        <f>VLOOKUP(tblProduction[[#This Row],[Line_ID]],Efficiency_Table,2,FALSE)</f>
        <v>83.481999999999985</v>
      </c>
    </row>
    <row r="155" spans="1:12" x14ac:dyDescent="0.2">
      <c r="A155" s="7" t="s">
        <v>26</v>
      </c>
      <c r="B155" s="6" t="s">
        <v>39</v>
      </c>
      <c r="C155" s="6" t="s">
        <v>42</v>
      </c>
      <c r="D155" s="17" t="s">
        <v>45</v>
      </c>
      <c r="E155" s="8">
        <v>289</v>
      </c>
      <c r="F155" s="8">
        <v>7</v>
      </c>
      <c r="G155" s="8">
        <v>57</v>
      </c>
      <c r="H155" s="6" t="s">
        <v>53</v>
      </c>
      <c r="I155" s="6">
        <v>76.88</v>
      </c>
      <c r="J155" s="6" t="str">
        <f>IF(tblProduction[[#This Row],[Downtime_Min]]&gt;Helper_Calculations!$B$4, "High", IF(tblProduction[[#This Row],[Downtime_Min]]&lt;Helper_Calculations!$B$3,"low","Medium"))</f>
        <v>High</v>
      </c>
      <c r="K155" s="42">
        <f>VLOOKUP(tblProduction[[#This Row],[Product_Type]],Defect_Table,4,FALSE)</f>
        <v>2.6075502200401161E-2</v>
      </c>
      <c r="L155" s="44">
        <f>VLOOKUP(tblProduction[[#This Row],[Line_ID]],Efficiency_Table,2,FALSE)</f>
        <v>84.103777777777793</v>
      </c>
    </row>
    <row r="156" spans="1:12" x14ac:dyDescent="0.2">
      <c r="A156" s="7" t="s">
        <v>26</v>
      </c>
      <c r="B156" s="6" t="s">
        <v>39</v>
      </c>
      <c r="C156" s="6" t="s">
        <v>43</v>
      </c>
      <c r="D156" s="17" t="s">
        <v>46</v>
      </c>
      <c r="E156" s="8">
        <v>227</v>
      </c>
      <c r="F156" s="8">
        <v>4</v>
      </c>
      <c r="G156" s="8">
        <v>40</v>
      </c>
      <c r="H156" s="6" t="s">
        <v>50</v>
      </c>
      <c r="I156" s="6">
        <v>77.8</v>
      </c>
      <c r="J156" s="6" t="str">
        <f>IF(tblProduction[[#This Row],[Downtime_Min]]&gt;Helper_Calculations!$B$4, "High", IF(tblProduction[[#This Row],[Downtime_Min]]&lt;Helper_Calculations!$B$3,"low","Medium"))</f>
        <v>Medium</v>
      </c>
      <c r="K156" s="42">
        <f>VLOOKUP(tblProduction[[#This Row],[Product_Type]],Defect_Table,4,FALSE)</f>
        <v>2.230142566191446E-2</v>
      </c>
      <c r="L156" s="44">
        <f>VLOOKUP(tblProduction[[#This Row],[Line_ID]],Efficiency_Table,2,FALSE)</f>
        <v>84.346333333333348</v>
      </c>
    </row>
    <row r="157" spans="1:12" x14ac:dyDescent="0.2">
      <c r="A157" s="7" t="s">
        <v>26</v>
      </c>
      <c r="B157" s="6" t="s">
        <v>39</v>
      </c>
      <c r="C157" s="6" t="s">
        <v>44</v>
      </c>
      <c r="D157" s="17" t="s">
        <v>46</v>
      </c>
      <c r="E157" s="8">
        <v>344</v>
      </c>
      <c r="F157" s="8">
        <v>8</v>
      </c>
      <c r="G157" s="8">
        <v>32</v>
      </c>
      <c r="H157" s="6" t="s">
        <v>57</v>
      </c>
      <c r="I157" s="6">
        <v>82.34</v>
      </c>
      <c r="J157" s="6" t="str">
        <f>IF(tblProduction[[#This Row],[Downtime_Min]]&gt;Helper_Calculations!$B$4, "High", IF(tblProduction[[#This Row],[Downtime_Min]]&lt;Helper_Calculations!$B$3,"low","Medium"))</f>
        <v>Medium</v>
      </c>
      <c r="K157" s="42">
        <f>VLOOKUP(tblProduction[[#This Row],[Product_Type]],Defect_Table,4,FALSE)</f>
        <v>2.230142566191446E-2</v>
      </c>
      <c r="L157" s="44">
        <f>VLOOKUP(tblProduction[[#This Row],[Line_ID]],Efficiency_Table,2,FALSE)</f>
        <v>83.481999999999985</v>
      </c>
    </row>
    <row r="158" spans="1:12" x14ac:dyDescent="0.2">
      <c r="A158" s="7" t="s">
        <v>26</v>
      </c>
      <c r="B158" s="6" t="s">
        <v>40</v>
      </c>
      <c r="C158" s="6" t="s">
        <v>42</v>
      </c>
      <c r="D158" s="17" t="s">
        <v>45</v>
      </c>
      <c r="E158" s="8">
        <v>419</v>
      </c>
      <c r="F158" s="8">
        <v>15</v>
      </c>
      <c r="G158" s="8">
        <v>28</v>
      </c>
      <c r="H158" s="6" t="s">
        <v>54</v>
      </c>
      <c r="I158" s="6">
        <v>74</v>
      </c>
      <c r="J158" s="6" t="str">
        <f>IF(tblProduction[[#This Row],[Downtime_Min]]&gt;Helper_Calculations!$B$4, "High", IF(tblProduction[[#This Row],[Downtime_Min]]&lt;Helper_Calculations!$B$3,"low","Medium"))</f>
        <v>Medium</v>
      </c>
      <c r="K158" s="42">
        <f>VLOOKUP(tblProduction[[#This Row],[Product_Type]],Defect_Table,4,FALSE)</f>
        <v>2.6075502200401161E-2</v>
      </c>
      <c r="L158" s="44">
        <f>VLOOKUP(tblProduction[[#This Row],[Line_ID]],Efficiency_Table,2,FALSE)</f>
        <v>84.103777777777793</v>
      </c>
    </row>
    <row r="159" spans="1:12" x14ac:dyDescent="0.2">
      <c r="A159" s="7" t="s">
        <v>26</v>
      </c>
      <c r="B159" s="6" t="s">
        <v>40</v>
      </c>
      <c r="C159" s="6" t="s">
        <v>43</v>
      </c>
      <c r="D159" s="17" t="s">
        <v>45</v>
      </c>
      <c r="E159" s="8">
        <v>234</v>
      </c>
      <c r="F159" s="8">
        <v>5</v>
      </c>
      <c r="G159" s="8">
        <v>17</v>
      </c>
      <c r="H159" s="6" t="s">
        <v>52</v>
      </c>
      <c r="I159" s="6">
        <v>82.5</v>
      </c>
      <c r="J159" s="6" t="str">
        <f>IF(tblProduction[[#This Row],[Downtime_Min]]&gt;Helper_Calculations!$B$4, "High", IF(tblProduction[[#This Row],[Downtime_Min]]&lt;Helper_Calculations!$B$3,"low","Medium"))</f>
        <v>low</v>
      </c>
      <c r="K159" s="42">
        <f>VLOOKUP(tblProduction[[#This Row],[Product_Type]],Defect_Table,4,FALSE)</f>
        <v>2.6075502200401161E-2</v>
      </c>
      <c r="L159" s="44">
        <f>VLOOKUP(tblProduction[[#This Row],[Line_ID]],Efficiency_Table,2,FALSE)</f>
        <v>84.346333333333348</v>
      </c>
    </row>
    <row r="160" spans="1:12" x14ac:dyDescent="0.2">
      <c r="A160" s="7" t="s">
        <v>26</v>
      </c>
      <c r="B160" s="6" t="s">
        <v>40</v>
      </c>
      <c r="C160" s="6" t="s">
        <v>44</v>
      </c>
      <c r="D160" s="17" t="s">
        <v>47</v>
      </c>
      <c r="E160" s="8">
        <v>396</v>
      </c>
      <c r="F160" s="8">
        <v>14</v>
      </c>
      <c r="G160" s="8">
        <v>24</v>
      </c>
      <c r="H160" s="6" t="s">
        <v>55</v>
      </c>
      <c r="I160" s="6">
        <v>82.55</v>
      </c>
      <c r="J160" s="6" t="str">
        <f>IF(tblProduction[[#This Row],[Downtime_Min]]&gt;Helper_Calculations!$B$4, "High", IF(tblProduction[[#This Row],[Downtime_Min]]&lt;Helper_Calculations!$B$3,"low","Medium"))</f>
        <v>Medium</v>
      </c>
      <c r="K160" s="42">
        <f>VLOOKUP(tblProduction[[#This Row],[Product_Type]],Defect_Table,4,FALSE)</f>
        <v>2.5486680327868851E-2</v>
      </c>
      <c r="L160" s="44">
        <f>VLOOKUP(tblProduction[[#This Row],[Line_ID]],Efficiency_Table,2,FALSE)</f>
        <v>83.481999999999985</v>
      </c>
    </row>
    <row r="161" spans="1:12" x14ac:dyDescent="0.2">
      <c r="A161" s="7" t="s">
        <v>26</v>
      </c>
      <c r="B161" s="6" t="s">
        <v>41</v>
      </c>
      <c r="C161" s="6" t="s">
        <v>42</v>
      </c>
      <c r="D161" s="17" t="s">
        <v>46</v>
      </c>
      <c r="E161" s="8">
        <v>485</v>
      </c>
      <c r="F161" s="8">
        <v>17</v>
      </c>
      <c r="G161" s="8">
        <v>58</v>
      </c>
      <c r="H161" s="6" t="s">
        <v>54</v>
      </c>
      <c r="I161" s="6">
        <v>71.36</v>
      </c>
      <c r="J161" s="6" t="str">
        <f>IF(tblProduction[[#This Row],[Downtime_Min]]&gt;Helper_Calculations!$B$4, "High", IF(tblProduction[[#This Row],[Downtime_Min]]&lt;Helper_Calculations!$B$3,"low","Medium"))</f>
        <v>High</v>
      </c>
      <c r="K161" s="42">
        <f>VLOOKUP(tblProduction[[#This Row],[Product_Type]],Defect_Table,4,FALSE)</f>
        <v>2.230142566191446E-2</v>
      </c>
      <c r="L161" s="44">
        <f>VLOOKUP(tblProduction[[#This Row],[Line_ID]],Efficiency_Table,2,FALSE)</f>
        <v>84.103777777777793</v>
      </c>
    </row>
    <row r="162" spans="1:12" x14ac:dyDescent="0.2">
      <c r="A162" s="7" t="s">
        <v>26</v>
      </c>
      <c r="B162" s="6" t="s">
        <v>41</v>
      </c>
      <c r="C162" s="6" t="s">
        <v>43</v>
      </c>
      <c r="D162" s="17" t="s">
        <v>45</v>
      </c>
      <c r="E162" s="8">
        <v>318</v>
      </c>
      <c r="F162" s="8">
        <v>0</v>
      </c>
      <c r="G162" s="8">
        <v>53</v>
      </c>
      <c r="H162" s="6" t="s">
        <v>55</v>
      </c>
      <c r="I162" s="6">
        <v>94.32</v>
      </c>
      <c r="J162" s="6" t="str">
        <f>IF(tblProduction[[#This Row],[Downtime_Min]]&gt;Helper_Calculations!$B$4, "High", IF(tblProduction[[#This Row],[Downtime_Min]]&lt;Helper_Calculations!$B$3,"low","Medium"))</f>
        <v>High</v>
      </c>
      <c r="K162" s="42">
        <f>VLOOKUP(tblProduction[[#This Row],[Product_Type]],Defect_Table,4,FALSE)</f>
        <v>2.6075502200401161E-2</v>
      </c>
      <c r="L162" s="44">
        <f>VLOOKUP(tblProduction[[#This Row],[Line_ID]],Efficiency_Table,2,FALSE)</f>
        <v>84.346333333333348</v>
      </c>
    </row>
    <row r="163" spans="1:12" x14ac:dyDescent="0.2">
      <c r="A163" s="7" t="s">
        <v>26</v>
      </c>
      <c r="B163" s="6" t="s">
        <v>41</v>
      </c>
      <c r="C163" s="6" t="s">
        <v>44</v>
      </c>
      <c r="D163" s="17" t="s">
        <v>47</v>
      </c>
      <c r="E163" s="8">
        <v>423</v>
      </c>
      <c r="F163" s="8">
        <v>14</v>
      </c>
      <c r="G163" s="8">
        <v>48</v>
      </c>
      <c r="H163" s="6" t="s">
        <v>54</v>
      </c>
      <c r="I163" s="6">
        <v>81.3</v>
      </c>
      <c r="J163" s="6" t="str">
        <f>IF(tblProduction[[#This Row],[Downtime_Min]]&gt;Helper_Calculations!$B$4, "High", IF(tblProduction[[#This Row],[Downtime_Min]]&lt;Helper_Calculations!$B$3,"low","Medium"))</f>
        <v>High</v>
      </c>
      <c r="K163" s="42">
        <f>VLOOKUP(tblProduction[[#This Row],[Product_Type]],Defect_Table,4,FALSE)</f>
        <v>2.5486680327868851E-2</v>
      </c>
      <c r="L163" s="44">
        <f>VLOOKUP(tblProduction[[#This Row],[Line_ID]],Efficiency_Table,2,FALSE)</f>
        <v>83.481999999999985</v>
      </c>
    </row>
    <row r="164" spans="1:12" x14ac:dyDescent="0.2">
      <c r="A164" s="7" t="s">
        <v>27</v>
      </c>
      <c r="B164" s="6" t="s">
        <v>39</v>
      </c>
      <c r="C164" s="6" t="s">
        <v>42</v>
      </c>
      <c r="D164" s="17" t="s">
        <v>46</v>
      </c>
      <c r="E164" s="8">
        <v>481</v>
      </c>
      <c r="F164" s="8">
        <v>16</v>
      </c>
      <c r="G164" s="8">
        <v>12</v>
      </c>
      <c r="H164" s="6" t="s">
        <v>48</v>
      </c>
      <c r="I164" s="6">
        <v>71.91</v>
      </c>
      <c r="J164" s="6" t="str">
        <f>IF(tblProduction[[#This Row],[Downtime_Min]]&gt;Helper_Calculations!$B$4, "High", IF(tblProduction[[#This Row],[Downtime_Min]]&lt;Helper_Calculations!$B$3,"low","Medium"))</f>
        <v>low</v>
      </c>
      <c r="K164" s="42">
        <f>VLOOKUP(tblProduction[[#This Row],[Product_Type]],Defect_Table,4,FALSE)</f>
        <v>2.230142566191446E-2</v>
      </c>
      <c r="L164" s="44">
        <f>VLOOKUP(tblProduction[[#This Row],[Line_ID]],Efficiency_Table,2,FALSE)</f>
        <v>84.103777777777793</v>
      </c>
    </row>
    <row r="165" spans="1:12" x14ac:dyDescent="0.2">
      <c r="A165" s="7" t="s">
        <v>27</v>
      </c>
      <c r="B165" s="6" t="s">
        <v>39</v>
      </c>
      <c r="C165" s="6" t="s">
        <v>43</v>
      </c>
      <c r="D165" s="17" t="s">
        <v>47</v>
      </c>
      <c r="E165" s="8">
        <v>304</v>
      </c>
      <c r="F165" s="8">
        <v>2</v>
      </c>
      <c r="G165" s="8">
        <v>0</v>
      </c>
      <c r="H165" s="6" t="s">
        <v>56</v>
      </c>
      <c r="I165" s="6">
        <v>70.41</v>
      </c>
      <c r="J165" s="6" t="str">
        <f>IF(tblProduction[[#This Row],[Downtime_Min]]&gt;Helper_Calculations!$B$4, "High", IF(tblProduction[[#This Row],[Downtime_Min]]&lt;Helper_Calculations!$B$3,"low","Medium"))</f>
        <v>low</v>
      </c>
      <c r="K165" s="42">
        <f>VLOOKUP(tblProduction[[#This Row],[Product_Type]],Defect_Table,4,FALSE)</f>
        <v>2.5486680327868851E-2</v>
      </c>
      <c r="L165" s="44">
        <f>VLOOKUP(tblProduction[[#This Row],[Line_ID]],Efficiency_Table,2,FALSE)</f>
        <v>84.346333333333348</v>
      </c>
    </row>
    <row r="166" spans="1:12" x14ac:dyDescent="0.2">
      <c r="A166" s="7" t="s">
        <v>27</v>
      </c>
      <c r="B166" s="6" t="s">
        <v>39</v>
      </c>
      <c r="C166" s="6" t="s">
        <v>44</v>
      </c>
      <c r="D166" s="17" t="s">
        <v>47</v>
      </c>
      <c r="E166" s="8">
        <v>205</v>
      </c>
      <c r="F166" s="8">
        <v>16</v>
      </c>
      <c r="G166" s="8">
        <v>4</v>
      </c>
      <c r="H166" s="6" t="s">
        <v>53</v>
      </c>
      <c r="I166" s="6">
        <v>99.99</v>
      </c>
      <c r="J166" s="6" t="str">
        <f>IF(tblProduction[[#This Row],[Downtime_Min]]&gt;Helper_Calculations!$B$4, "High", IF(tblProduction[[#This Row],[Downtime_Min]]&lt;Helper_Calculations!$B$3,"low","Medium"))</f>
        <v>low</v>
      </c>
      <c r="K166" s="42">
        <f>VLOOKUP(tblProduction[[#This Row],[Product_Type]],Defect_Table,4,FALSE)</f>
        <v>2.5486680327868851E-2</v>
      </c>
      <c r="L166" s="44">
        <f>VLOOKUP(tblProduction[[#This Row],[Line_ID]],Efficiency_Table,2,FALSE)</f>
        <v>83.481999999999985</v>
      </c>
    </row>
    <row r="167" spans="1:12" x14ac:dyDescent="0.2">
      <c r="A167" s="7" t="s">
        <v>27</v>
      </c>
      <c r="B167" s="6" t="s">
        <v>40</v>
      </c>
      <c r="C167" s="6" t="s">
        <v>42</v>
      </c>
      <c r="D167" s="17" t="s">
        <v>46</v>
      </c>
      <c r="E167" s="8">
        <v>458</v>
      </c>
      <c r="F167" s="8">
        <v>4</v>
      </c>
      <c r="G167" s="8">
        <v>52</v>
      </c>
      <c r="H167" s="6" t="s">
        <v>54</v>
      </c>
      <c r="I167" s="6">
        <v>98.34</v>
      </c>
      <c r="J167" s="6" t="str">
        <f>IF(tblProduction[[#This Row],[Downtime_Min]]&gt;Helper_Calculations!$B$4, "High", IF(tblProduction[[#This Row],[Downtime_Min]]&lt;Helper_Calculations!$B$3,"low","Medium"))</f>
        <v>High</v>
      </c>
      <c r="K167" s="42">
        <f>VLOOKUP(tblProduction[[#This Row],[Product_Type]],Defect_Table,4,FALSE)</f>
        <v>2.230142566191446E-2</v>
      </c>
      <c r="L167" s="44">
        <f>VLOOKUP(tblProduction[[#This Row],[Line_ID]],Efficiency_Table,2,FALSE)</f>
        <v>84.103777777777793</v>
      </c>
    </row>
    <row r="168" spans="1:12" x14ac:dyDescent="0.2">
      <c r="A168" s="7" t="s">
        <v>27</v>
      </c>
      <c r="B168" s="6" t="s">
        <v>40</v>
      </c>
      <c r="C168" s="6" t="s">
        <v>43</v>
      </c>
      <c r="D168" s="17" t="s">
        <v>47</v>
      </c>
      <c r="E168" s="8">
        <v>282</v>
      </c>
      <c r="F168" s="8">
        <v>16</v>
      </c>
      <c r="G168" s="8">
        <v>20</v>
      </c>
      <c r="H168" s="6" t="s">
        <v>55</v>
      </c>
      <c r="I168" s="6">
        <v>83.52</v>
      </c>
      <c r="J168" s="6" t="str">
        <f>IF(tblProduction[[#This Row],[Downtime_Min]]&gt;Helper_Calculations!$B$4, "High", IF(tblProduction[[#This Row],[Downtime_Min]]&lt;Helper_Calculations!$B$3,"low","Medium"))</f>
        <v>Medium</v>
      </c>
      <c r="K168" s="42">
        <f>VLOOKUP(tblProduction[[#This Row],[Product_Type]],Defect_Table,4,FALSE)</f>
        <v>2.5486680327868851E-2</v>
      </c>
      <c r="L168" s="44">
        <f>VLOOKUP(tblProduction[[#This Row],[Line_ID]],Efficiency_Table,2,FALSE)</f>
        <v>84.346333333333348</v>
      </c>
    </row>
    <row r="169" spans="1:12" x14ac:dyDescent="0.2">
      <c r="A169" s="7" t="s">
        <v>27</v>
      </c>
      <c r="B169" s="6" t="s">
        <v>40</v>
      </c>
      <c r="C169" s="6" t="s">
        <v>44</v>
      </c>
      <c r="D169" s="17" t="s">
        <v>47</v>
      </c>
      <c r="E169" s="8">
        <v>200</v>
      </c>
      <c r="F169" s="8">
        <v>18</v>
      </c>
      <c r="G169" s="8">
        <v>44</v>
      </c>
      <c r="H169" s="6" t="s">
        <v>57</v>
      </c>
      <c r="I169" s="6">
        <v>88.19</v>
      </c>
      <c r="J169" s="6" t="str">
        <f>IF(tblProduction[[#This Row],[Downtime_Min]]&gt;Helper_Calculations!$B$4, "High", IF(tblProduction[[#This Row],[Downtime_Min]]&lt;Helper_Calculations!$B$3,"low","Medium"))</f>
        <v>Medium</v>
      </c>
      <c r="K169" s="42">
        <f>VLOOKUP(tblProduction[[#This Row],[Product_Type]],Defect_Table,4,FALSE)</f>
        <v>2.5486680327868851E-2</v>
      </c>
      <c r="L169" s="44">
        <f>VLOOKUP(tblProduction[[#This Row],[Line_ID]],Efficiency_Table,2,FALSE)</f>
        <v>83.481999999999985</v>
      </c>
    </row>
    <row r="170" spans="1:12" x14ac:dyDescent="0.2">
      <c r="A170" s="7" t="s">
        <v>27</v>
      </c>
      <c r="B170" s="6" t="s">
        <v>41</v>
      </c>
      <c r="C170" s="6" t="s">
        <v>42</v>
      </c>
      <c r="D170" s="17" t="s">
        <v>47</v>
      </c>
      <c r="E170" s="8">
        <v>487</v>
      </c>
      <c r="F170" s="8">
        <v>1</v>
      </c>
      <c r="G170" s="8">
        <v>27</v>
      </c>
      <c r="H170" s="6" t="s">
        <v>53</v>
      </c>
      <c r="I170" s="6">
        <v>78.06</v>
      </c>
      <c r="J170" s="6" t="str">
        <f>IF(tblProduction[[#This Row],[Downtime_Min]]&gt;Helper_Calculations!$B$4, "High", IF(tblProduction[[#This Row],[Downtime_Min]]&lt;Helper_Calculations!$B$3,"low","Medium"))</f>
        <v>Medium</v>
      </c>
      <c r="K170" s="42">
        <f>VLOOKUP(tblProduction[[#This Row],[Product_Type]],Defect_Table,4,FALSE)</f>
        <v>2.5486680327868851E-2</v>
      </c>
      <c r="L170" s="44">
        <f>VLOOKUP(tblProduction[[#This Row],[Line_ID]],Efficiency_Table,2,FALSE)</f>
        <v>84.103777777777793</v>
      </c>
    </row>
    <row r="171" spans="1:12" x14ac:dyDescent="0.2">
      <c r="A171" s="7" t="s">
        <v>27</v>
      </c>
      <c r="B171" s="6" t="s">
        <v>41</v>
      </c>
      <c r="C171" s="6" t="s">
        <v>43</v>
      </c>
      <c r="D171" s="17" t="s">
        <v>46</v>
      </c>
      <c r="E171" s="8">
        <v>238</v>
      </c>
      <c r="F171" s="8">
        <v>1</v>
      </c>
      <c r="G171" s="8">
        <v>53</v>
      </c>
      <c r="H171" s="6" t="s">
        <v>53</v>
      </c>
      <c r="I171" s="6">
        <v>93.17</v>
      </c>
      <c r="J171" s="6" t="str">
        <f>IF(tblProduction[[#This Row],[Downtime_Min]]&gt;Helper_Calculations!$B$4, "High", IF(tblProduction[[#This Row],[Downtime_Min]]&lt;Helper_Calculations!$B$3,"low","Medium"))</f>
        <v>High</v>
      </c>
      <c r="K171" s="42">
        <f>VLOOKUP(tblProduction[[#This Row],[Product_Type]],Defect_Table,4,FALSE)</f>
        <v>2.230142566191446E-2</v>
      </c>
      <c r="L171" s="44">
        <f>VLOOKUP(tblProduction[[#This Row],[Line_ID]],Efficiency_Table,2,FALSE)</f>
        <v>84.346333333333348</v>
      </c>
    </row>
    <row r="172" spans="1:12" x14ac:dyDescent="0.2">
      <c r="A172" s="7" t="s">
        <v>27</v>
      </c>
      <c r="B172" s="6" t="s">
        <v>41</v>
      </c>
      <c r="C172" s="6" t="s">
        <v>44</v>
      </c>
      <c r="D172" s="17" t="s">
        <v>47</v>
      </c>
      <c r="E172" s="8">
        <v>467</v>
      </c>
      <c r="F172" s="8">
        <v>0</v>
      </c>
      <c r="G172" s="8">
        <v>53</v>
      </c>
      <c r="H172" s="6" t="s">
        <v>49</v>
      </c>
      <c r="I172" s="6">
        <v>99.04</v>
      </c>
      <c r="J172" s="6" t="str">
        <f>IF(tblProduction[[#This Row],[Downtime_Min]]&gt;Helper_Calculations!$B$4, "High", IF(tblProduction[[#This Row],[Downtime_Min]]&lt;Helper_Calculations!$B$3,"low","Medium"))</f>
        <v>High</v>
      </c>
      <c r="K172" s="42">
        <f>VLOOKUP(tblProduction[[#This Row],[Product_Type]],Defect_Table,4,FALSE)</f>
        <v>2.5486680327868851E-2</v>
      </c>
      <c r="L172" s="44">
        <f>VLOOKUP(tblProduction[[#This Row],[Line_ID]],Efficiency_Table,2,FALSE)</f>
        <v>83.481999999999985</v>
      </c>
    </row>
    <row r="173" spans="1:12" x14ac:dyDescent="0.2">
      <c r="A173" s="7" t="s">
        <v>28</v>
      </c>
      <c r="B173" s="6" t="s">
        <v>39</v>
      </c>
      <c r="C173" s="6" t="s">
        <v>42</v>
      </c>
      <c r="D173" s="17" t="s">
        <v>45</v>
      </c>
      <c r="E173" s="8">
        <v>421</v>
      </c>
      <c r="F173" s="8">
        <v>16</v>
      </c>
      <c r="G173" s="8">
        <v>47</v>
      </c>
      <c r="H173" s="6" t="s">
        <v>54</v>
      </c>
      <c r="I173" s="6">
        <v>84.4</v>
      </c>
      <c r="J173" s="6" t="str">
        <f>IF(tblProduction[[#This Row],[Downtime_Min]]&gt;Helper_Calculations!$B$4, "High", IF(tblProduction[[#This Row],[Downtime_Min]]&lt;Helper_Calculations!$B$3,"low","Medium"))</f>
        <v>Medium</v>
      </c>
      <c r="K173" s="42">
        <f>VLOOKUP(tblProduction[[#This Row],[Product_Type]],Defect_Table,4,FALSE)</f>
        <v>2.6075502200401161E-2</v>
      </c>
      <c r="L173" s="44">
        <f>VLOOKUP(tblProduction[[#This Row],[Line_ID]],Efficiency_Table,2,FALSE)</f>
        <v>84.103777777777793</v>
      </c>
    </row>
    <row r="174" spans="1:12" x14ac:dyDescent="0.2">
      <c r="A174" s="7" t="s">
        <v>28</v>
      </c>
      <c r="B174" s="6" t="s">
        <v>39</v>
      </c>
      <c r="C174" s="6" t="s">
        <v>43</v>
      </c>
      <c r="D174" s="17" t="s">
        <v>45</v>
      </c>
      <c r="E174" s="8">
        <v>406</v>
      </c>
      <c r="F174" s="8">
        <v>4</v>
      </c>
      <c r="G174" s="8">
        <v>20</v>
      </c>
      <c r="H174" s="6" t="s">
        <v>52</v>
      </c>
      <c r="I174" s="6">
        <v>89.18</v>
      </c>
      <c r="J174" s="6" t="str">
        <f>IF(tblProduction[[#This Row],[Downtime_Min]]&gt;Helper_Calculations!$B$4, "High", IF(tblProduction[[#This Row],[Downtime_Min]]&lt;Helper_Calculations!$B$3,"low","Medium"))</f>
        <v>Medium</v>
      </c>
      <c r="K174" s="42">
        <f>VLOOKUP(tblProduction[[#This Row],[Product_Type]],Defect_Table,4,FALSE)</f>
        <v>2.6075502200401161E-2</v>
      </c>
      <c r="L174" s="44">
        <f>VLOOKUP(tblProduction[[#This Row],[Line_ID]],Efficiency_Table,2,FALSE)</f>
        <v>84.346333333333348</v>
      </c>
    </row>
    <row r="175" spans="1:12" x14ac:dyDescent="0.2">
      <c r="A175" s="7" t="s">
        <v>28</v>
      </c>
      <c r="B175" s="6" t="s">
        <v>39</v>
      </c>
      <c r="C175" s="6" t="s">
        <v>44</v>
      </c>
      <c r="D175" s="17" t="s">
        <v>46</v>
      </c>
      <c r="E175" s="8">
        <v>274</v>
      </c>
      <c r="F175" s="8">
        <v>18</v>
      </c>
      <c r="G175" s="8">
        <v>38</v>
      </c>
      <c r="H175" s="6" t="s">
        <v>52</v>
      </c>
      <c r="I175" s="6">
        <v>74.09</v>
      </c>
      <c r="J175" s="6" t="str">
        <f>IF(tblProduction[[#This Row],[Downtime_Min]]&gt;Helper_Calculations!$B$4, "High", IF(tblProduction[[#This Row],[Downtime_Min]]&lt;Helper_Calculations!$B$3,"low","Medium"))</f>
        <v>Medium</v>
      </c>
      <c r="K175" s="42">
        <f>VLOOKUP(tblProduction[[#This Row],[Product_Type]],Defect_Table,4,FALSE)</f>
        <v>2.230142566191446E-2</v>
      </c>
      <c r="L175" s="44">
        <f>VLOOKUP(tblProduction[[#This Row],[Line_ID]],Efficiency_Table,2,FALSE)</f>
        <v>83.481999999999985</v>
      </c>
    </row>
    <row r="176" spans="1:12" x14ac:dyDescent="0.2">
      <c r="A176" s="7" t="s">
        <v>28</v>
      </c>
      <c r="B176" s="6" t="s">
        <v>40</v>
      </c>
      <c r="C176" s="6" t="s">
        <v>42</v>
      </c>
      <c r="D176" s="17" t="s">
        <v>45</v>
      </c>
      <c r="E176" s="8">
        <v>451</v>
      </c>
      <c r="F176" s="8">
        <v>1</v>
      </c>
      <c r="G176" s="8">
        <v>37</v>
      </c>
      <c r="H176" s="6" t="s">
        <v>52</v>
      </c>
      <c r="I176" s="6">
        <v>88.24</v>
      </c>
      <c r="J176" s="6" t="str">
        <f>IF(tblProduction[[#This Row],[Downtime_Min]]&gt;Helper_Calculations!$B$4, "High", IF(tblProduction[[#This Row],[Downtime_Min]]&lt;Helper_Calculations!$B$3,"low","Medium"))</f>
        <v>Medium</v>
      </c>
      <c r="K176" s="42">
        <f>VLOOKUP(tblProduction[[#This Row],[Product_Type]],Defect_Table,4,FALSE)</f>
        <v>2.6075502200401161E-2</v>
      </c>
      <c r="L176" s="44">
        <f>VLOOKUP(tblProduction[[#This Row],[Line_ID]],Efficiency_Table,2,FALSE)</f>
        <v>84.103777777777793</v>
      </c>
    </row>
    <row r="177" spans="1:12" x14ac:dyDescent="0.2">
      <c r="A177" s="7" t="s">
        <v>28</v>
      </c>
      <c r="B177" s="6" t="s">
        <v>40</v>
      </c>
      <c r="C177" s="6" t="s">
        <v>43</v>
      </c>
      <c r="D177" s="17" t="s">
        <v>45</v>
      </c>
      <c r="E177" s="8">
        <v>485</v>
      </c>
      <c r="F177" s="8">
        <v>14</v>
      </c>
      <c r="G177" s="8">
        <v>26</v>
      </c>
      <c r="H177" s="6" t="s">
        <v>50</v>
      </c>
      <c r="I177" s="6">
        <v>72.73</v>
      </c>
      <c r="J177" s="6" t="str">
        <f>IF(tblProduction[[#This Row],[Downtime_Min]]&gt;Helper_Calculations!$B$4, "High", IF(tblProduction[[#This Row],[Downtime_Min]]&lt;Helper_Calculations!$B$3,"low","Medium"))</f>
        <v>Medium</v>
      </c>
      <c r="K177" s="42">
        <f>VLOOKUP(tblProduction[[#This Row],[Product_Type]],Defect_Table,4,FALSE)</f>
        <v>2.6075502200401161E-2</v>
      </c>
      <c r="L177" s="44">
        <f>VLOOKUP(tblProduction[[#This Row],[Line_ID]],Efficiency_Table,2,FALSE)</f>
        <v>84.346333333333348</v>
      </c>
    </row>
    <row r="178" spans="1:12" x14ac:dyDescent="0.2">
      <c r="A178" s="7" t="s">
        <v>28</v>
      </c>
      <c r="B178" s="6" t="s">
        <v>40</v>
      </c>
      <c r="C178" s="6" t="s">
        <v>44</v>
      </c>
      <c r="D178" s="17" t="s">
        <v>45</v>
      </c>
      <c r="E178" s="8">
        <v>448</v>
      </c>
      <c r="F178" s="8">
        <v>5</v>
      </c>
      <c r="G178" s="8">
        <v>32</v>
      </c>
      <c r="H178" s="6" t="s">
        <v>50</v>
      </c>
      <c r="I178" s="6">
        <v>93.51</v>
      </c>
      <c r="J178" s="6" t="str">
        <f>IF(tblProduction[[#This Row],[Downtime_Min]]&gt;Helper_Calculations!$B$4, "High", IF(tblProduction[[#This Row],[Downtime_Min]]&lt;Helper_Calculations!$B$3,"low","Medium"))</f>
        <v>Medium</v>
      </c>
      <c r="K178" s="42">
        <f>VLOOKUP(tblProduction[[#This Row],[Product_Type]],Defect_Table,4,FALSE)</f>
        <v>2.6075502200401161E-2</v>
      </c>
      <c r="L178" s="44">
        <f>VLOOKUP(tblProduction[[#This Row],[Line_ID]],Efficiency_Table,2,FALSE)</f>
        <v>83.481999999999985</v>
      </c>
    </row>
    <row r="179" spans="1:12" x14ac:dyDescent="0.2">
      <c r="A179" s="7" t="s">
        <v>28</v>
      </c>
      <c r="B179" s="6" t="s">
        <v>41</v>
      </c>
      <c r="C179" s="6" t="s">
        <v>42</v>
      </c>
      <c r="D179" s="17" t="s">
        <v>47</v>
      </c>
      <c r="E179" s="8">
        <v>229</v>
      </c>
      <c r="F179" s="8">
        <v>9</v>
      </c>
      <c r="G179" s="8">
        <v>50</v>
      </c>
      <c r="H179" s="6" t="s">
        <v>53</v>
      </c>
      <c r="I179" s="6">
        <v>90.93</v>
      </c>
      <c r="J179" s="6" t="str">
        <f>IF(tblProduction[[#This Row],[Downtime_Min]]&gt;Helper_Calculations!$B$4, "High", IF(tblProduction[[#This Row],[Downtime_Min]]&lt;Helper_Calculations!$B$3,"low","Medium"))</f>
        <v>High</v>
      </c>
      <c r="K179" s="42">
        <f>VLOOKUP(tblProduction[[#This Row],[Product_Type]],Defect_Table,4,FALSE)</f>
        <v>2.5486680327868851E-2</v>
      </c>
      <c r="L179" s="44">
        <f>VLOOKUP(tblProduction[[#This Row],[Line_ID]],Efficiency_Table,2,FALSE)</f>
        <v>84.103777777777793</v>
      </c>
    </row>
    <row r="180" spans="1:12" x14ac:dyDescent="0.2">
      <c r="A180" s="7" t="s">
        <v>28</v>
      </c>
      <c r="B180" s="6" t="s">
        <v>41</v>
      </c>
      <c r="C180" s="6" t="s">
        <v>43</v>
      </c>
      <c r="D180" s="17" t="s">
        <v>46</v>
      </c>
      <c r="E180" s="8">
        <v>484</v>
      </c>
      <c r="F180" s="8">
        <v>3</v>
      </c>
      <c r="G180" s="8">
        <v>9</v>
      </c>
      <c r="H180" s="6" t="s">
        <v>51</v>
      </c>
      <c r="I180" s="6">
        <v>97.8</v>
      </c>
      <c r="J180" s="6" t="str">
        <f>IF(tblProduction[[#This Row],[Downtime_Min]]&gt;Helper_Calculations!$B$4, "High", IF(tblProduction[[#This Row],[Downtime_Min]]&lt;Helper_Calculations!$B$3,"low","Medium"))</f>
        <v>low</v>
      </c>
      <c r="K180" s="42">
        <f>VLOOKUP(tblProduction[[#This Row],[Product_Type]],Defect_Table,4,FALSE)</f>
        <v>2.230142566191446E-2</v>
      </c>
      <c r="L180" s="44">
        <f>VLOOKUP(tblProduction[[#This Row],[Line_ID]],Efficiency_Table,2,FALSE)</f>
        <v>84.346333333333348</v>
      </c>
    </row>
    <row r="181" spans="1:12" x14ac:dyDescent="0.2">
      <c r="A181" s="7" t="s">
        <v>28</v>
      </c>
      <c r="B181" s="6" t="s">
        <v>41</v>
      </c>
      <c r="C181" s="6" t="s">
        <v>44</v>
      </c>
      <c r="D181" s="17" t="s">
        <v>45</v>
      </c>
      <c r="E181" s="8">
        <v>472</v>
      </c>
      <c r="F181" s="8">
        <v>19</v>
      </c>
      <c r="G181" s="8">
        <v>23</v>
      </c>
      <c r="H181" s="6" t="s">
        <v>53</v>
      </c>
      <c r="I181" s="6">
        <v>71.38</v>
      </c>
      <c r="J181" s="6" t="str">
        <f>IF(tblProduction[[#This Row],[Downtime_Min]]&gt;Helper_Calculations!$B$4, "High", IF(tblProduction[[#This Row],[Downtime_Min]]&lt;Helper_Calculations!$B$3,"low","Medium"))</f>
        <v>Medium</v>
      </c>
      <c r="K181" s="42">
        <f>VLOOKUP(tblProduction[[#This Row],[Product_Type]],Defect_Table,4,FALSE)</f>
        <v>2.6075502200401161E-2</v>
      </c>
      <c r="L181" s="44">
        <f>VLOOKUP(tblProduction[[#This Row],[Line_ID]],Efficiency_Table,2,FALSE)</f>
        <v>83.481999999999985</v>
      </c>
    </row>
    <row r="182" spans="1:12" x14ac:dyDescent="0.2">
      <c r="A182" s="7" t="s">
        <v>29</v>
      </c>
      <c r="B182" s="6" t="s">
        <v>39</v>
      </c>
      <c r="C182" s="6" t="s">
        <v>42</v>
      </c>
      <c r="D182" s="17" t="s">
        <v>46</v>
      </c>
      <c r="E182" s="8">
        <v>461</v>
      </c>
      <c r="F182" s="8">
        <v>1</v>
      </c>
      <c r="G182" s="8">
        <v>12</v>
      </c>
      <c r="H182" s="6" t="s">
        <v>48</v>
      </c>
      <c r="I182" s="6">
        <v>76.27</v>
      </c>
      <c r="J182" s="6" t="str">
        <f>IF(tblProduction[[#This Row],[Downtime_Min]]&gt;Helper_Calculations!$B$4, "High", IF(tblProduction[[#This Row],[Downtime_Min]]&lt;Helper_Calculations!$B$3,"low","Medium"))</f>
        <v>low</v>
      </c>
      <c r="K182" s="42">
        <f>VLOOKUP(tblProduction[[#This Row],[Product_Type]],Defect_Table,4,FALSE)</f>
        <v>2.230142566191446E-2</v>
      </c>
      <c r="L182" s="44">
        <f>VLOOKUP(tblProduction[[#This Row],[Line_ID]],Efficiency_Table,2,FALSE)</f>
        <v>84.103777777777793</v>
      </c>
    </row>
    <row r="183" spans="1:12" x14ac:dyDescent="0.2">
      <c r="A183" s="7" t="s">
        <v>29</v>
      </c>
      <c r="B183" s="6" t="s">
        <v>39</v>
      </c>
      <c r="C183" s="6" t="s">
        <v>43</v>
      </c>
      <c r="D183" s="17" t="s">
        <v>45</v>
      </c>
      <c r="E183" s="8">
        <v>242</v>
      </c>
      <c r="F183" s="8">
        <v>15</v>
      </c>
      <c r="G183" s="8">
        <v>10</v>
      </c>
      <c r="H183" s="6" t="s">
        <v>49</v>
      </c>
      <c r="I183" s="6">
        <v>72.28</v>
      </c>
      <c r="J183" s="6" t="str">
        <f>IF(tblProduction[[#This Row],[Downtime_Min]]&gt;Helper_Calculations!$B$4, "High", IF(tblProduction[[#This Row],[Downtime_Min]]&lt;Helper_Calculations!$B$3,"low","Medium"))</f>
        <v>low</v>
      </c>
      <c r="K183" s="42">
        <f>VLOOKUP(tblProduction[[#This Row],[Product_Type]],Defect_Table,4,FALSE)</f>
        <v>2.6075502200401161E-2</v>
      </c>
      <c r="L183" s="44">
        <f>VLOOKUP(tblProduction[[#This Row],[Line_ID]],Efficiency_Table,2,FALSE)</f>
        <v>84.346333333333348</v>
      </c>
    </row>
    <row r="184" spans="1:12" x14ac:dyDescent="0.2">
      <c r="A184" s="7" t="s">
        <v>29</v>
      </c>
      <c r="B184" s="6" t="s">
        <v>39</v>
      </c>
      <c r="C184" s="6" t="s">
        <v>44</v>
      </c>
      <c r="D184" s="17" t="s">
        <v>45</v>
      </c>
      <c r="E184" s="8">
        <v>448</v>
      </c>
      <c r="F184" s="8">
        <v>15</v>
      </c>
      <c r="G184" s="8">
        <v>30</v>
      </c>
      <c r="H184" s="6" t="s">
        <v>49</v>
      </c>
      <c r="I184" s="6">
        <v>82.01</v>
      </c>
      <c r="J184" s="6" t="str">
        <f>IF(tblProduction[[#This Row],[Downtime_Min]]&gt;Helper_Calculations!$B$4, "High", IF(tblProduction[[#This Row],[Downtime_Min]]&lt;Helper_Calculations!$B$3,"low","Medium"))</f>
        <v>Medium</v>
      </c>
      <c r="K184" s="42">
        <f>VLOOKUP(tblProduction[[#This Row],[Product_Type]],Defect_Table,4,FALSE)</f>
        <v>2.6075502200401161E-2</v>
      </c>
      <c r="L184" s="44">
        <f>VLOOKUP(tblProduction[[#This Row],[Line_ID]],Efficiency_Table,2,FALSE)</f>
        <v>83.481999999999985</v>
      </c>
    </row>
    <row r="185" spans="1:12" x14ac:dyDescent="0.2">
      <c r="A185" s="7" t="s">
        <v>29</v>
      </c>
      <c r="B185" s="6" t="s">
        <v>40</v>
      </c>
      <c r="C185" s="6" t="s">
        <v>42</v>
      </c>
      <c r="D185" s="17" t="s">
        <v>47</v>
      </c>
      <c r="E185" s="8">
        <v>207</v>
      </c>
      <c r="F185" s="8">
        <v>3</v>
      </c>
      <c r="G185" s="8">
        <v>39</v>
      </c>
      <c r="H185" s="6" t="s">
        <v>49</v>
      </c>
      <c r="I185" s="6">
        <v>90.9</v>
      </c>
      <c r="J185" s="6" t="str">
        <f>IF(tblProduction[[#This Row],[Downtime_Min]]&gt;Helper_Calculations!$B$4, "High", IF(tblProduction[[#This Row],[Downtime_Min]]&lt;Helper_Calculations!$B$3,"low","Medium"))</f>
        <v>Medium</v>
      </c>
      <c r="K185" s="42">
        <f>VLOOKUP(tblProduction[[#This Row],[Product_Type]],Defect_Table,4,FALSE)</f>
        <v>2.5486680327868851E-2</v>
      </c>
      <c r="L185" s="44">
        <f>VLOOKUP(tblProduction[[#This Row],[Line_ID]],Efficiency_Table,2,FALSE)</f>
        <v>84.103777777777793</v>
      </c>
    </row>
    <row r="186" spans="1:12" x14ac:dyDescent="0.2">
      <c r="A186" s="7" t="s">
        <v>29</v>
      </c>
      <c r="B186" s="6" t="s">
        <v>40</v>
      </c>
      <c r="C186" s="6" t="s">
        <v>43</v>
      </c>
      <c r="D186" s="17" t="s">
        <v>46</v>
      </c>
      <c r="E186" s="8">
        <v>480</v>
      </c>
      <c r="F186" s="8">
        <v>2</v>
      </c>
      <c r="G186" s="8">
        <v>31</v>
      </c>
      <c r="H186" s="6" t="s">
        <v>51</v>
      </c>
      <c r="I186" s="6">
        <v>84.22</v>
      </c>
      <c r="J186" s="6" t="str">
        <f>IF(tblProduction[[#This Row],[Downtime_Min]]&gt;Helper_Calculations!$B$4, "High", IF(tblProduction[[#This Row],[Downtime_Min]]&lt;Helper_Calculations!$B$3,"low","Medium"))</f>
        <v>Medium</v>
      </c>
      <c r="K186" s="42">
        <f>VLOOKUP(tblProduction[[#This Row],[Product_Type]],Defect_Table,4,FALSE)</f>
        <v>2.230142566191446E-2</v>
      </c>
      <c r="L186" s="44">
        <f>VLOOKUP(tblProduction[[#This Row],[Line_ID]],Efficiency_Table,2,FALSE)</f>
        <v>84.346333333333348</v>
      </c>
    </row>
    <row r="187" spans="1:12" x14ac:dyDescent="0.2">
      <c r="A187" s="7" t="s">
        <v>29</v>
      </c>
      <c r="B187" s="6" t="s">
        <v>40</v>
      </c>
      <c r="C187" s="6" t="s">
        <v>44</v>
      </c>
      <c r="D187" s="17" t="s">
        <v>45</v>
      </c>
      <c r="E187" s="8">
        <v>292</v>
      </c>
      <c r="F187" s="8">
        <v>17</v>
      </c>
      <c r="G187" s="8">
        <v>57</v>
      </c>
      <c r="H187" s="6" t="s">
        <v>54</v>
      </c>
      <c r="I187" s="6">
        <v>76.72</v>
      </c>
      <c r="J187" s="6" t="str">
        <f>IF(tblProduction[[#This Row],[Downtime_Min]]&gt;Helper_Calculations!$B$4, "High", IF(tblProduction[[#This Row],[Downtime_Min]]&lt;Helper_Calculations!$B$3,"low","Medium"))</f>
        <v>High</v>
      </c>
      <c r="K187" s="42">
        <f>VLOOKUP(tblProduction[[#This Row],[Product_Type]],Defect_Table,4,FALSE)</f>
        <v>2.6075502200401161E-2</v>
      </c>
      <c r="L187" s="44">
        <f>VLOOKUP(tblProduction[[#This Row],[Line_ID]],Efficiency_Table,2,FALSE)</f>
        <v>83.481999999999985</v>
      </c>
    </row>
    <row r="188" spans="1:12" x14ac:dyDescent="0.2">
      <c r="A188" s="7" t="s">
        <v>29</v>
      </c>
      <c r="B188" s="6" t="s">
        <v>41</v>
      </c>
      <c r="C188" s="6" t="s">
        <v>42</v>
      </c>
      <c r="D188" s="17" t="s">
        <v>45</v>
      </c>
      <c r="E188" s="8">
        <v>476</v>
      </c>
      <c r="F188" s="8">
        <v>4</v>
      </c>
      <c r="G188" s="8">
        <v>17</v>
      </c>
      <c r="H188" s="6" t="s">
        <v>52</v>
      </c>
      <c r="I188" s="6">
        <v>78.36</v>
      </c>
      <c r="J188" s="6" t="str">
        <f>IF(tblProduction[[#This Row],[Downtime_Min]]&gt;Helper_Calculations!$B$4, "High", IF(tblProduction[[#This Row],[Downtime_Min]]&lt;Helper_Calculations!$B$3,"low","Medium"))</f>
        <v>low</v>
      </c>
      <c r="K188" s="42">
        <f>VLOOKUP(tblProduction[[#This Row],[Product_Type]],Defect_Table,4,FALSE)</f>
        <v>2.6075502200401161E-2</v>
      </c>
      <c r="L188" s="44">
        <f>VLOOKUP(tblProduction[[#This Row],[Line_ID]],Efficiency_Table,2,FALSE)</f>
        <v>84.103777777777793</v>
      </c>
    </row>
    <row r="189" spans="1:12" x14ac:dyDescent="0.2">
      <c r="A189" s="7" t="s">
        <v>29</v>
      </c>
      <c r="B189" s="6" t="s">
        <v>41</v>
      </c>
      <c r="C189" s="6" t="s">
        <v>43</v>
      </c>
      <c r="D189" s="17" t="s">
        <v>46</v>
      </c>
      <c r="E189" s="8">
        <v>221</v>
      </c>
      <c r="F189" s="8">
        <v>5</v>
      </c>
      <c r="G189" s="8">
        <v>0</v>
      </c>
      <c r="H189" s="6" t="s">
        <v>55</v>
      </c>
      <c r="I189" s="6">
        <v>86.03</v>
      </c>
      <c r="J189" s="6" t="str">
        <f>IF(tblProduction[[#This Row],[Downtime_Min]]&gt;Helper_Calculations!$B$4, "High", IF(tblProduction[[#This Row],[Downtime_Min]]&lt;Helper_Calculations!$B$3,"low","Medium"))</f>
        <v>low</v>
      </c>
      <c r="K189" s="42">
        <f>VLOOKUP(tblProduction[[#This Row],[Product_Type]],Defect_Table,4,FALSE)</f>
        <v>2.230142566191446E-2</v>
      </c>
      <c r="L189" s="44">
        <f>VLOOKUP(tblProduction[[#This Row],[Line_ID]],Efficiency_Table,2,FALSE)</f>
        <v>84.346333333333348</v>
      </c>
    </row>
    <row r="190" spans="1:12" x14ac:dyDescent="0.2">
      <c r="A190" s="7" t="s">
        <v>29</v>
      </c>
      <c r="B190" s="6" t="s">
        <v>41</v>
      </c>
      <c r="C190" s="6" t="s">
        <v>44</v>
      </c>
      <c r="D190" s="17" t="s">
        <v>47</v>
      </c>
      <c r="E190" s="8">
        <v>211</v>
      </c>
      <c r="F190" s="8">
        <v>13</v>
      </c>
      <c r="G190" s="8">
        <v>33</v>
      </c>
      <c r="H190" s="6" t="s">
        <v>52</v>
      </c>
      <c r="I190" s="6">
        <v>73.86</v>
      </c>
      <c r="J190" s="6" t="str">
        <f>IF(tblProduction[[#This Row],[Downtime_Min]]&gt;Helper_Calculations!$B$4, "High", IF(tblProduction[[#This Row],[Downtime_Min]]&lt;Helper_Calculations!$B$3,"low","Medium"))</f>
        <v>Medium</v>
      </c>
      <c r="K190" s="42">
        <f>VLOOKUP(tblProduction[[#This Row],[Product_Type]],Defect_Table,4,FALSE)</f>
        <v>2.5486680327868851E-2</v>
      </c>
      <c r="L190" s="44">
        <f>VLOOKUP(tblProduction[[#This Row],[Line_ID]],Efficiency_Table,2,FALSE)</f>
        <v>83.481999999999985</v>
      </c>
    </row>
    <row r="191" spans="1:12" x14ac:dyDescent="0.2">
      <c r="A191" s="7" t="s">
        <v>30</v>
      </c>
      <c r="B191" s="6" t="s">
        <v>39</v>
      </c>
      <c r="C191" s="6" t="s">
        <v>42</v>
      </c>
      <c r="D191" s="17" t="s">
        <v>46</v>
      </c>
      <c r="E191" s="8">
        <v>417</v>
      </c>
      <c r="F191" s="8">
        <v>12</v>
      </c>
      <c r="G191" s="8">
        <v>26</v>
      </c>
      <c r="H191" s="6" t="s">
        <v>57</v>
      </c>
      <c r="I191" s="6">
        <v>71.180000000000007</v>
      </c>
      <c r="J191" s="6" t="str">
        <f>IF(tblProduction[[#This Row],[Downtime_Min]]&gt;Helper_Calculations!$B$4, "High", IF(tblProduction[[#This Row],[Downtime_Min]]&lt;Helper_Calculations!$B$3,"low","Medium"))</f>
        <v>Medium</v>
      </c>
      <c r="K191" s="42">
        <f>VLOOKUP(tblProduction[[#This Row],[Product_Type]],Defect_Table,4,FALSE)</f>
        <v>2.230142566191446E-2</v>
      </c>
      <c r="L191" s="44">
        <f>VLOOKUP(tblProduction[[#This Row],[Line_ID]],Efficiency_Table,2,FALSE)</f>
        <v>84.103777777777793</v>
      </c>
    </row>
    <row r="192" spans="1:12" x14ac:dyDescent="0.2">
      <c r="A192" s="7" t="s">
        <v>30</v>
      </c>
      <c r="B192" s="6" t="s">
        <v>39</v>
      </c>
      <c r="C192" s="6" t="s">
        <v>43</v>
      </c>
      <c r="D192" s="17" t="s">
        <v>45</v>
      </c>
      <c r="E192" s="8">
        <v>448</v>
      </c>
      <c r="F192" s="8">
        <v>14</v>
      </c>
      <c r="G192" s="8">
        <v>56</v>
      </c>
      <c r="H192" s="6" t="s">
        <v>50</v>
      </c>
      <c r="I192" s="6">
        <v>90.63</v>
      </c>
      <c r="J192" s="6" t="str">
        <f>IF(tblProduction[[#This Row],[Downtime_Min]]&gt;Helper_Calculations!$B$4, "High", IF(tblProduction[[#This Row],[Downtime_Min]]&lt;Helper_Calculations!$B$3,"low","Medium"))</f>
        <v>High</v>
      </c>
      <c r="K192" s="42">
        <f>VLOOKUP(tblProduction[[#This Row],[Product_Type]],Defect_Table,4,FALSE)</f>
        <v>2.6075502200401161E-2</v>
      </c>
      <c r="L192" s="44">
        <f>VLOOKUP(tblProduction[[#This Row],[Line_ID]],Efficiency_Table,2,FALSE)</f>
        <v>84.346333333333348</v>
      </c>
    </row>
    <row r="193" spans="1:12" x14ac:dyDescent="0.2">
      <c r="A193" s="7" t="s">
        <v>30</v>
      </c>
      <c r="B193" s="6" t="s">
        <v>39</v>
      </c>
      <c r="C193" s="6" t="s">
        <v>44</v>
      </c>
      <c r="D193" s="17" t="s">
        <v>45</v>
      </c>
      <c r="E193" s="8">
        <v>255</v>
      </c>
      <c r="F193" s="8">
        <v>10</v>
      </c>
      <c r="G193" s="8">
        <v>47</v>
      </c>
      <c r="H193" s="6" t="s">
        <v>49</v>
      </c>
      <c r="I193" s="6">
        <v>71.83</v>
      </c>
      <c r="J193" s="6" t="str">
        <f>IF(tblProduction[[#This Row],[Downtime_Min]]&gt;Helper_Calculations!$B$4, "High", IF(tblProduction[[#This Row],[Downtime_Min]]&lt;Helper_Calculations!$B$3,"low","Medium"))</f>
        <v>Medium</v>
      </c>
      <c r="K193" s="42">
        <f>VLOOKUP(tblProduction[[#This Row],[Product_Type]],Defect_Table,4,FALSE)</f>
        <v>2.6075502200401161E-2</v>
      </c>
      <c r="L193" s="44">
        <f>VLOOKUP(tblProduction[[#This Row],[Line_ID]],Efficiency_Table,2,FALSE)</f>
        <v>83.481999999999985</v>
      </c>
    </row>
    <row r="194" spans="1:12" x14ac:dyDescent="0.2">
      <c r="A194" s="7" t="s">
        <v>30</v>
      </c>
      <c r="B194" s="6" t="s">
        <v>40</v>
      </c>
      <c r="C194" s="6" t="s">
        <v>42</v>
      </c>
      <c r="D194" s="17" t="s">
        <v>46</v>
      </c>
      <c r="E194" s="8">
        <v>225</v>
      </c>
      <c r="F194" s="8">
        <v>3</v>
      </c>
      <c r="G194" s="8">
        <v>0</v>
      </c>
      <c r="H194" s="6" t="s">
        <v>55</v>
      </c>
      <c r="I194" s="6">
        <v>72.540000000000006</v>
      </c>
      <c r="J194" s="6" t="str">
        <f>IF(tblProduction[[#This Row],[Downtime_Min]]&gt;Helper_Calculations!$B$4, "High", IF(tblProduction[[#This Row],[Downtime_Min]]&lt;Helper_Calculations!$B$3,"low","Medium"))</f>
        <v>low</v>
      </c>
      <c r="K194" s="42">
        <f>VLOOKUP(tblProduction[[#This Row],[Product_Type]],Defect_Table,4,FALSE)</f>
        <v>2.230142566191446E-2</v>
      </c>
      <c r="L194" s="44">
        <f>VLOOKUP(tblProduction[[#This Row],[Line_ID]],Efficiency_Table,2,FALSE)</f>
        <v>84.103777777777793</v>
      </c>
    </row>
    <row r="195" spans="1:12" x14ac:dyDescent="0.2">
      <c r="A195" s="7" t="s">
        <v>30</v>
      </c>
      <c r="B195" s="6" t="s">
        <v>40</v>
      </c>
      <c r="C195" s="6" t="s">
        <v>43</v>
      </c>
      <c r="D195" s="17" t="s">
        <v>45</v>
      </c>
      <c r="E195" s="8">
        <v>452</v>
      </c>
      <c r="F195" s="8">
        <v>19</v>
      </c>
      <c r="G195" s="8">
        <v>14</v>
      </c>
      <c r="H195" s="6" t="s">
        <v>53</v>
      </c>
      <c r="I195" s="6">
        <v>86.1</v>
      </c>
      <c r="J195" s="6" t="str">
        <f>IF(tblProduction[[#This Row],[Downtime_Min]]&gt;Helper_Calculations!$B$4, "High", IF(tblProduction[[#This Row],[Downtime_Min]]&lt;Helper_Calculations!$B$3,"low","Medium"))</f>
        <v>low</v>
      </c>
      <c r="K195" s="42">
        <f>VLOOKUP(tblProduction[[#This Row],[Product_Type]],Defect_Table,4,FALSE)</f>
        <v>2.6075502200401161E-2</v>
      </c>
      <c r="L195" s="44">
        <f>VLOOKUP(tblProduction[[#This Row],[Line_ID]],Efficiency_Table,2,FALSE)</f>
        <v>84.346333333333348</v>
      </c>
    </row>
    <row r="196" spans="1:12" x14ac:dyDescent="0.2">
      <c r="A196" s="7" t="s">
        <v>30</v>
      </c>
      <c r="B196" s="6" t="s">
        <v>40</v>
      </c>
      <c r="C196" s="6" t="s">
        <v>44</v>
      </c>
      <c r="D196" s="17" t="s">
        <v>46</v>
      </c>
      <c r="E196" s="8">
        <v>255</v>
      </c>
      <c r="F196" s="8">
        <v>13</v>
      </c>
      <c r="G196" s="8">
        <v>25</v>
      </c>
      <c r="H196" s="6" t="s">
        <v>50</v>
      </c>
      <c r="I196" s="6">
        <v>92.8</v>
      </c>
      <c r="J196" s="6" t="str">
        <f>IF(tblProduction[[#This Row],[Downtime_Min]]&gt;Helper_Calculations!$B$4, "High", IF(tblProduction[[#This Row],[Downtime_Min]]&lt;Helper_Calculations!$B$3,"low","Medium"))</f>
        <v>Medium</v>
      </c>
      <c r="K196" s="42">
        <f>VLOOKUP(tblProduction[[#This Row],[Product_Type]],Defect_Table,4,FALSE)</f>
        <v>2.230142566191446E-2</v>
      </c>
      <c r="L196" s="44">
        <f>VLOOKUP(tblProduction[[#This Row],[Line_ID]],Efficiency_Table,2,FALSE)</f>
        <v>83.481999999999985</v>
      </c>
    </row>
    <row r="197" spans="1:12" x14ac:dyDescent="0.2">
      <c r="A197" s="7" t="s">
        <v>30</v>
      </c>
      <c r="B197" s="6" t="s">
        <v>41</v>
      </c>
      <c r="C197" s="6" t="s">
        <v>42</v>
      </c>
      <c r="D197" s="17" t="s">
        <v>46</v>
      </c>
      <c r="E197" s="8">
        <v>277</v>
      </c>
      <c r="F197" s="8">
        <v>1</v>
      </c>
      <c r="G197" s="8">
        <v>44</v>
      </c>
      <c r="H197" s="6" t="s">
        <v>56</v>
      </c>
      <c r="I197" s="6">
        <v>71.87</v>
      </c>
      <c r="J197" s="6" t="str">
        <f>IF(tblProduction[[#This Row],[Downtime_Min]]&gt;Helper_Calculations!$B$4, "High", IF(tblProduction[[#This Row],[Downtime_Min]]&lt;Helper_Calculations!$B$3,"low","Medium"))</f>
        <v>Medium</v>
      </c>
      <c r="K197" s="42">
        <f>VLOOKUP(tblProduction[[#This Row],[Product_Type]],Defect_Table,4,FALSE)</f>
        <v>2.230142566191446E-2</v>
      </c>
      <c r="L197" s="44">
        <f>VLOOKUP(tblProduction[[#This Row],[Line_ID]],Efficiency_Table,2,FALSE)</f>
        <v>84.103777777777793</v>
      </c>
    </row>
    <row r="198" spans="1:12" x14ac:dyDescent="0.2">
      <c r="A198" s="7" t="s">
        <v>30</v>
      </c>
      <c r="B198" s="6" t="s">
        <v>41</v>
      </c>
      <c r="C198" s="6" t="s">
        <v>43</v>
      </c>
      <c r="D198" s="17" t="s">
        <v>45</v>
      </c>
      <c r="E198" s="8">
        <v>386</v>
      </c>
      <c r="F198" s="8">
        <v>18</v>
      </c>
      <c r="G198" s="8">
        <v>6</v>
      </c>
      <c r="H198" s="6" t="s">
        <v>52</v>
      </c>
      <c r="I198" s="6">
        <v>90.61</v>
      </c>
      <c r="J198" s="6" t="str">
        <f>IF(tblProduction[[#This Row],[Downtime_Min]]&gt;Helper_Calculations!$B$4, "High", IF(tblProduction[[#This Row],[Downtime_Min]]&lt;Helper_Calculations!$B$3,"low","Medium"))</f>
        <v>low</v>
      </c>
      <c r="K198" s="42">
        <f>VLOOKUP(tblProduction[[#This Row],[Product_Type]],Defect_Table,4,FALSE)</f>
        <v>2.6075502200401161E-2</v>
      </c>
      <c r="L198" s="44">
        <f>VLOOKUP(tblProduction[[#This Row],[Line_ID]],Efficiency_Table,2,FALSE)</f>
        <v>84.346333333333348</v>
      </c>
    </row>
    <row r="199" spans="1:12" x14ac:dyDescent="0.2">
      <c r="A199" s="7" t="s">
        <v>30</v>
      </c>
      <c r="B199" s="6" t="s">
        <v>41</v>
      </c>
      <c r="C199" s="6" t="s">
        <v>44</v>
      </c>
      <c r="D199" s="17" t="s">
        <v>45</v>
      </c>
      <c r="E199" s="8">
        <v>437</v>
      </c>
      <c r="F199" s="8">
        <v>10</v>
      </c>
      <c r="G199" s="8">
        <v>46</v>
      </c>
      <c r="H199" s="6" t="s">
        <v>54</v>
      </c>
      <c r="I199" s="6">
        <v>70.91</v>
      </c>
      <c r="J199" s="6" t="str">
        <f>IF(tblProduction[[#This Row],[Downtime_Min]]&gt;Helper_Calculations!$B$4, "High", IF(tblProduction[[#This Row],[Downtime_Min]]&lt;Helper_Calculations!$B$3,"low","Medium"))</f>
        <v>Medium</v>
      </c>
      <c r="K199" s="42">
        <f>VLOOKUP(tblProduction[[#This Row],[Product_Type]],Defect_Table,4,FALSE)</f>
        <v>2.6075502200401161E-2</v>
      </c>
      <c r="L199" s="44">
        <f>VLOOKUP(tblProduction[[#This Row],[Line_ID]],Efficiency_Table,2,FALSE)</f>
        <v>83.481999999999985</v>
      </c>
    </row>
    <row r="200" spans="1:12" x14ac:dyDescent="0.2">
      <c r="A200" s="7" t="s">
        <v>31</v>
      </c>
      <c r="B200" s="6" t="s">
        <v>39</v>
      </c>
      <c r="C200" s="6" t="s">
        <v>42</v>
      </c>
      <c r="D200" s="17" t="s">
        <v>46</v>
      </c>
      <c r="E200" s="8">
        <v>473</v>
      </c>
      <c r="F200" s="8">
        <v>5</v>
      </c>
      <c r="G200" s="8">
        <v>34</v>
      </c>
      <c r="H200" s="6" t="s">
        <v>56</v>
      </c>
      <c r="I200" s="6">
        <v>81.91</v>
      </c>
      <c r="J200" s="6" t="str">
        <f>IF(tblProduction[[#This Row],[Downtime_Min]]&gt;Helper_Calculations!$B$4, "High", IF(tblProduction[[#This Row],[Downtime_Min]]&lt;Helper_Calculations!$B$3,"low","Medium"))</f>
        <v>Medium</v>
      </c>
      <c r="K200" s="42">
        <f>VLOOKUP(tblProduction[[#This Row],[Product_Type]],Defect_Table,4,FALSE)</f>
        <v>2.230142566191446E-2</v>
      </c>
      <c r="L200" s="44">
        <f>VLOOKUP(tblProduction[[#This Row],[Line_ID]],Efficiency_Table,2,FALSE)</f>
        <v>84.103777777777793</v>
      </c>
    </row>
    <row r="201" spans="1:12" x14ac:dyDescent="0.2">
      <c r="A201" s="7" t="s">
        <v>31</v>
      </c>
      <c r="B201" s="6" t="s">
        <v>39</v>
      </c>
      <c r="C201" s="6" t="s">
        <v>43</v>
      </c>
      <c r="D201" s="17" t="s">
        <v>45</v>
      </c>
      <c r="E201" s="8">
        <v>391</v>
      </c>
      <c r="F201" s="8">
        <v>4</v>
      </c>
      <c r="G201" s="8">
        <v>27</v>
      </c>
      <c r="H201" s="6" t="s">
        <v>52</v>
      </c>
      <c r="I201" s="6">
        <v>70.599999999999994</v>
      </c>
      <c r="J201" s="6" t="str">
        <f>IF(tblProduction[[#This Row],[Downtime_Min]]&gt;Helper_Calculations!$B$4, "High", IF(tblProduction[[#This Row],[Downtime_Min]]&lt;Helper_Calculations!$B$3,"low","Medium"))</f>
        <v>Medium</v>
      </c>
      <c r="K201" s="42">
        <f>VLOOKUP(tblProduction[[#This Row],[Product_Type]],Defect_Table,4,FALSE)</f>
        <v>2.6075502200401161E-2</v>
      </c>
      <c r="L201" s="44">
        <f>VLOOKUP(tblProduction[[#This Row],[Line_ID]],Efficiency_Table,2,FALSE)</f>
        <v>84.346333333333348</v>
      </c>
    </row>
    <row r="202" spans="1:12" x14ac:dyDescent="0.2">
      <c r="A202" s="7" t="s">
        <v>31</v>
      </c>
      <c r="B202" s="6" t="s">
        <v>39</v>
      </c>
      <c r="C202" s="6" t="s">
        <v>44</v>
      </c>
      <c r="D202" s="17" t="s">
        <v>45</v>
      </c>
      <c r="E202" s="8">
        <v>472</v>
      </c>
      <c r="F202" s="8">
        <v>6</v>
      </c>
      <c r="G202" s="8">
        <v>21</v>
      </c>
      <c r="H202" s="6" t="s">
        <v>54</v>
      </c>
      <c r="I202" s="6">
        <v>79.819999999999993</v>
      </c>
      <c r="J202" s="6" t="str">
        <f>IF(tblProduction[[#This Row],[Downtime_Min]]&gt;Helper_Calculations!$B$4, "High", IF(tblProduction[[#This Row],[Downtime_Min]]&lt;Helper_Calculations!$B$3,"low","Medium"))</f>
        <v>Medium</v>
      </c>
      <c r="K202" s="42">
        <f>VLOOKUP(tblProduction[[#This Row],[Product_Type]],Defect_Table,4,FALSE)</f>
        <v>2.6075502200401161E-2</v>
      </c>
      <c r="L202" s="44">
        <f>VLOOKUP(tblProduction[[#This Row],[Line_ID]],Efficiency_Table,2,FALSE)</f>
        <v>83.481999999999985</v>
      </c>
    </row>
    <row r="203" spans="1:12" x14ac:dyDescent="0.2">
      <c r="A203" s="7" t="s">
        <v>31</v>
      </c>
      <c r="B203" s="6" t="s">
        <v>40</v>
      </c>
      <c r="C203" s="6" t="s">
        <v>42</v>
      </c>
      <c r="D203" s="17" t="s">
        <v>47</v>
      </c>
      <c r="E203" s="8">
        <v>499</v>
      </c>
      <c r="F203" s="8">
        <v>16</v>
      </c>
      <c r="G203" s="8">
        <v>12</v>
      </c>
      <c r="H203" s="6" t="s">
        <v>51</v>
      </c>
      <c r="I203" s="6">
        <v>87.81</v>
      </c>
      <c r="J203" s="6" t="str">
        <f>IF(tblProduction[[#This Row],[Downtime_Min]]&gt;Helper_Calculations!$B$4, "High", IF(tblProduction[[#This Row],[Downtime_Min]]&lt;Helper_Calculations!$B$3,"low","Medium"))</f>
        <v>low</v>
      </c>
      <c r="K203" s="42">
        <f>VLOOKUP(tblProduction[[#This Row],[Product_Type]],Defect_Table,4,FALSE)</f>
        <v>2.5486680327868851E-2</v>
      </c>
      <c r="L203" s="44">
        <f>VLOOKUP(tblProduction[[#This Row],[Line_ID]],Efficiency_Table,2,FALSE)</f>
        <v>84.103777777777793</v>
      </c>
    </row>
    <row r="204" spans="1:12" x14ac:dyDescent="0.2">
      <c r="A204" s="7" t="s">
        <v>31</v>
      </c>
      <c r="B204" s="6" t="s">
        <v>40</v>
      </c>
      <c r="C204" s="6" t="s">
        <v>43</v>
      </c>
      <c r="D204" s="17" t="s">
        <v>45</v>
      </c>
      <c r="E204" s="8">
        <v>267</v>
      </c>
      <c r="F204" s="8">
        <v>9</v>
      </c>
      <c r="G204" s="8">
        <v>2</v>
      </c>
      <c r="H204" s="6" t="s">
        <v>48</v>
      </c>
      <c r="I204" s="6">
        <v>89.46</v>
      </c>
      <c r="J204" s="6" t="str">
        <f>IF(tblProduction[[#This Row],[Downtime_Min]]&gt;Helper_Calculations!$B$4, "High", IF(tblProduction[[#This Row],[Downtime_Min]]&lt;Helper_Calculations!$B$3,"low","Medium"))</f>
        <v>low</v>
      </c>
      <c r="K204" s="42">
        <f>VLOOKUP(tblProduction[[#This Row],[Product_Type]],Defect_Table,4,FALSE)</f>
        <v>2.6075502200401161E-2</v>
      </c>
      <c r="L204" s="44">
        <f>VLOOKUP(tblProduction[[#This Row],[Line_ID]],Efficiency_Table,2,FALSE)</f>
        <v>84.346333333333348</v>
      </c>
    </row>
    <row r="205" spans="1:12" x14ac:dyDescent="0.2">
      <c r="A205" s="7" t="s">
        <v>31</v>
      </c>
      <c r="B205" s="6" t="s">
        <v>40</v>
      </c>
      <c r="C205" s="6" t="s">
        <v>44</v>
      </c>
      <c r="D205" s="17" t="s">
        <v>46</v>
      </c>
      <c r="E205" s="8">
        <v>345</v>
      </c>
      <c r="F205" s="8">
        <v>14</v>
      </c>
      <c r="G205" s="8">
        <v>35</v>
      </c>
      <c r="H205" s="6" t="s">
        <v>50</v>
      </c>
      <c r="I205" s="6">
        <v>86.11</v>
      </c>
      <c r="J205" s="6" t="str">
        <f>IF(tblProduction[[#This Row],[Downtime_Min]]&gt;Helper_Calculations!$B$4, "High", IF(tblProduction[[#This Row],[Downtime_Min]]&lt;Helper_Calculations!$B$3,"low","Medium"))</f>
        <v>Medium</v>
      </c>
      <c r="K205" s="42">
        <f>VLOOKUP(tblProduction[[#This Row],[Product_Type]],Defect_Table,4,FALSE)</f>
        <v>2.230142566191446E-2</v>
      </c>
      <c r="L205" s="44">
        <f>VLOOKUP(tblProduction[[#This Row],[Line_ID]],Efficiency_Table,2,FALSE)</f>
        <v>83.481999999999985</v>
      </c>
    </row>
    <row r="206" spans="1:12" x14ac:dyDescent="0.2">
      <c r="A206" s="7" t="s">
        <v>31</v>
      </c>
      <c r="B206" s="6" t="s">
        <v>41</v>
      </c>
      <c r="C206" s="6" t="s">
        <v>42</v>
      </c>
      <c r="D206" s="17" t="s">
        <v>45</v>
      </c>
      <c r="E206" s="8">
        <v>233</v>
      </c>
      <c r="F206" s="8">
        <v>14</v>
      </c>
      <c r="G206" s="8">
        <v>7</v>
      </c>
      <c r="H206" s="6" t="s">
        <v>50</v>
      </c>
      <c r="I206" s="6">
        <v>87.6</v>
      </c>
      <c r="J206" s="6" t="str">
        <f>IF(tblProduction[[#This Row],[Downtime_Min]]&gt;Helper_Calculations!$B$4, "High", IF(tblProduction[[#This Row],[Downtime_Min]]&lt;Helper_Calculations!$B$3,"low","Medium"))</f>
        <v>low</v>
      </c>
      <c r="K206" s="42">
        <f>VLOOKUP(tblProduction[[#This Row],[Product_Type]],Defect_Table,4,FALSE)</f>
        <v>2.6075502200401161E-2</v>
      </c>
      <c r="L206" s="44">
        <f>VLOOKUP(tblProduction[[#This Row],[Line_ID]],Efficiency_Table,2,FALSE)</f>
        <v>84.103777777777793</v>
      </c>
    </row>
    <row r="207" spans="1:12" x14ac:dyDescent="0.2">
      <c r="A207" s="7" t="s">
        <v>31</v>
      </c>
      <c r="B207" s="6" t="s">
        <v>41</v>
      </c>
      <c r="C207" s="6" t="s">
        <v>43</v>
      </c>
      <c r="D207" s="17" t="s">
        <v>45</v>
      </c>
      <c r="E207" s="8">
        <v>435</v>
      </c>
      <c r="F207" s="8">
        <v>18</v>
      </c>
      <c r="G207" s="8">
        <v>41</v>
      </c>
      <c r="H207" s="6" t="s">
        <v>53</v>
      </c>
      <c r="I207" s="6">
        <v>78.510000000000005</v>
      </c>
      <c r="J207" s="6" t="str">
        <f>IF(tblProduction[[#This Row],[Downtime_Min]]&gt;Helper_Calculations!$B$4, "High", IF(tblProduction[[#This Row],[Downtime_Min]]&lt;Helper_Calculations!$B$3,"low","Medium"))</f>
        <v>Medium</v>
      </c>
      <c r="K207" s="42">
        <f>VLOOKUP(tblProduction[[#This Row],[Product_Type]],Defect_Table,4,FALSE)</f>
        <v>2.6075502200401161E-2</v>
      </c>
      <c r="L207" s="44">
        <f>VLOOKUP(tblProduction[[#This Row],[Line_ID]],Efficiency_Table,2,FALSE)</f>
        <v>84.346333333333348</v>
      </c>
    </row>
    <row r="208" spans="1:12" x14ac:dyDescent="0.2">
      <c r="A208" s="7" t="s">
        <v>31</v>
      </c>
      <c r="B208" s="6" t="s">
        <v>41</v>
      </c>
      <c r="C208" s="6" t="s">
        <v>44</v>
      </c>
      <c r="D208" s="17" t="s">
        <v>47</v>
      </c>
      <c r="E208" s="8">
        <v>205</v>
      </c>
      <c r="F208" s="8">
        <v>19</v>
      </c>
      <c r="G208" s="8">
        <v>25</v>
      </c>
      <c r="H208" s="6" t="s">
        <v>49</v>
      </c>
      <c r="I208" s="6">
        <v>88.23</v>
      </c>
      <c r="J208" s="6" t="str">
        <f>IF(tblProduction[[#This Row],[Downtime_Min]]&gt;Helper_Calculations!$B$4, "High", IF(tblProduction[[#This Row],[Downtime_Min]]&lt;Helper_Calculations!$B$3,"low","Medium"))</f>
        <v>Medium</v>
      </c>
      <c r="K208" s="42">
        <f>VLOOKUP(tblProduction[[#This Row],[Product_Type]],Defect_Table,4,FALSE)</f>
        <v>2.5486680327868851E-2</v>
      </c>
      <c r="L208" s="44">
        <f>VLOOKUP(tblProduction[[#This Row],[Line_ID]],Efficiency_Table,2,FALSE)</f>
        <v>83.481999999999985</v>
      </c>
    </row>
    <row r="209" spans="1:12" x14ac:dyDescent="0.2">
      <c r="A209" s="7" t="s">
        <v>32</v>
      </c>
      <c r="B209" s="6" t="s">
        <v>39</v>
      </c>
      <c r="C209" s="6" t="s">
        <v>42</v>
      </c>
      <c r="D209" s="17" t="s">
        <v>46</v>
      </c>
      <c r="E209" s="8">
        <v>428</v>
      </c>
      <c r="F209" s="8">
        <v>0</v>
      </c>
      <c r="G209" s="8">
        <v>52</v>
      </c>
      <c r="H209" s="6" t="s">
        <v>54</v>
      </c>
      <c r="I209" s="6">
        <v>73.05</v>
      </c>
      <c r="J209" s="6" t="str">
        <f>IF(tblProduction[[#This Row],[Downtime_Min]]&gt;Helper_Calculations!$B$4, "High", IF(tblProduction[[#This Row],[Downtime_Min]]&lt;Helper_Calculations!$B$3,"low","Medium"))</f>
        <v>High</v>
      </c>
      <c r="K209" s="42">
        <f>VLOOKUP(tblProduction[[#This Row],[Product_Type]],Defect_Table,4,FALSE)</f>
        <v>2.230142566191446E-2</v>
      </c>
      <c r="L209" s="44">
        <f>VLOOKUP(tblProduction[[#This Row],[Line_ID]],Efficiency_Table,2,FALSE)</f>
        <v>84.103777777777793</v>
      </c>
    </row>
    <row r="210" spans="1:12" x14ac:dyDescent="0.2">
      <c r="A210" s="7" t="s">
        <v>32</v>
      </c>
      <c r="B210" s="6" t="s">
        <v>39</v>
      </c>
      <c r="C210" s="6" t="s">
        <v>43</v>
      </c>
      <c r="D210" s="17" t="s">
        <v>45</v>
      </c>
      <c r="E210" s="8">
        <v>397</v>
      </c>
      <c r="F210" s="8">
        <v>5</v>
      </c>
      <c r="G210" s="8">
        <v>54</v>
      </c>
      <c r="H210" s="6" t="s">
        <v>50</v>
      </c>
      <c r="I210" s="6">
        <v>84.63</v>
      </c>
      <c r="J210" s="6" t="str">
        <f>IF(tblProduction[[#This Row],[Downtime_Min]]&gt;Helper_Calculations!$B$4, "High", IF(tblProduction[[#This Row],[Downtime_Min]]&lt;Helper_Calculations!$B$3,"low","Medium"))</f>
        <v>High</v>
      </c>
      <c r="K210" s="42">
        <f>VLOOKUP(tblProduction[[#This Row],[Product_Type]],Defect_Table,4,FALSE)</f>
        <v>2.6075502200401161E-2</v>
      </c>
      <c r="L210" s="44">
        <f>VLOOKUP(tblProduction[[#This Row],[Line_ID]],Efficiency_Table,2,FALSE)</f>
        <v>84.346333333333348</v>
      </c>
    </row>
    <row r="211" spans="1:12" x14ac:dyDescent="0.2">
      <c r="A211" s="7" t="s">
        <v>32</v>
      </c>
      <c r="B211" s="6" t="s">
        <v>39</v>
      </c>
      <c r="C211" s="6" t="s">
        <v>44</v>
      </c>
      <c r="D211" s="17" t="s">
        <v>45</v>
      </c>
      <c r="E211" s="8">
        <v>294</v>
      </c>
      <c r="F211" s="8">
        <v>8</v>
      </c>
      <c r="G211" s="8">
        <v>54</v>
      </c>
      <c r="H211" s="6" t="s">
        <v>56</v>
      </c>
      <c r="I211" s="6">
        <v>71.55</v>
      </c>
      <c r="J211" s="6" t="str">
        <f>IF(tblProduction[[#This Row],[Downtime_Min]]&gt;Helper_Calculations!$B$4, "High", IF(tblProduction[[#This Row],[Downtime_Min]]&lt;Helper_Calculations!$B$3,"low","Medium"))</f>
        <v>High</v>
      </c>
      <c r="K211" s="42">
        <f>VLOOKUP(tblProduction[[#This Row],[Product_Type]],Defect_Table,4,FALSE)</f>
        <v>2.6075502200401161E-2</v>
      </c>
      <c r="L211" s="44">
        <f>VLOOKUP(tblProduction[[#This Row],[Line_ID]],Efficiency_Table,2,FALSE)</f>
        <v>83.481999999999985</v>
      </c>
    </row>
    <row r="212" spans="1:12" x14ac:dyDescent="0.2">
      <c r="A212" s="7" t="s">
        <v>32</v>
      </c>
      <c r="B212" s="6" t="s">
        <v>40</v>
      </c>
      <c r="C212" s="6" t="s">
        <v>42</v>
      </c>
      <c r="D212" s="17" t="s">
        <v>45</v>
      </c>
      <c r="E212" s="8">
        <v>230</v>
      </c>
      <c r="F212" s="8">
        <v>7</v>
      </c>
      <c r="G212" s="8">
        <v>36</v>
      </c>
      <c r="H212" s="6" t="s">
        <v>56</v>
      </c>
      <c r="I212" s="6">
        <v>99.47</v>
      </c>
      <c r="J212" s="6" t="str">
        <f>IF(tblProduction[[#This Row],[Downtime_Min]]&gt;Helper_Calculations!$B$4, "High", IF(tblProduction[[#This Row],[Downtime_Min]]&lt;Helper_Calculations!$B$3,"low","Medium"))</f>
        <v>Medium</v>
      </c>
      <c r="K212" s="42">
        <f>VLOOKUP(tblProduction[[#This Row],[Product_Type]],Defect_Table,4,FALSE)</f>
        <v>2.6075502200401161E-2</v>
      </c>
      <c r="L212" s="44">
        <f>VLOOKUP(tblProduction[[#This Row],[Line_ID]],Efficiency_Table,2,FALSE)</f>
        <v>84.103777777777793</v>
      </c>
    </row>
    <row r="213" spans="1:12" x14ac:dyDescent="0.2">
      <c r="A213" s="7" t="s">
        <v>32</v>
      </c>
      <c r="B213" s="6" t="s">
        <v>40</v>
      </c>
      <c r="C213" s="6" t="s">
        <v>43</v>
      </c>
      <c r="D213" s="17" t="s">
        <v>46</v>
      </c>
      <c r="E213" s="8">
        <v>422</v>
      </c>
      <c r="F213" s="8">
        <v>5</v>
      </c>
      <c r="G213" s="8">
        <v>1</v>
      </c>
      <c r="H213" s="6" t="s">
        <v>50</v>
      </c>
      <c r="I213" s="6">
        <v>87.28</v>
      </c>
      <c r="J213" s="6" t="str">
        <f>IF(tblProduction[[#This Row],[Downtime_Min]]&gt;Helper_Calculations!$B$4, "High", IF(tblProduction[[#This Row],[Downtime_Min]]&lt;Helper_Calculations!$B$3,"low","Medium"))</f>
        <v>low</v>
      </c>
      <c r="K213" s="42">
        <f>VLOOKUP(tblProduction[[#This Row],[Product_Type]],Defect_Table,4,FALSE)</f>
        <v>2.230142566191446E-2</v>
      </c>
      <c r="L213" s="44">
        <f>VLOOKUP(tblProduction[[#This Row],[Line_ID]],Efficiency_Table,2,FALSE)</f>
        <v>84.346333333333348</v>
      </c>
    </row>
    <row r="214" spans="1:12" x14ac:dyDescent="0.2">
      <c r="A214" s="7" t="s">
        <v>32</v>
      </c>
      <c r="B214" s="6" t="s">
        <v>40</v>
      </c>
      <c r="C214" s="6" t="s">
        <v>44</v>
      </c>
      <c r="D214" s="17" t="s">
        <v>45</v>
      </c>
      <c r="E214" s="8">
        <v>274</v>
      </c>
      <c r="F214" s="8">
        <v>3</v>
      </c>
      <c r="G214" s="8">
        <v>14</v>
      </c>
      <c r="H214" s="6" t="s">
        <v>52</v>
      </c>
      <c r="I214" s="6">
        <v>94.51</v>
      </c>
      <c r="J214" s="6" t="str">
        <f>IF(tblProduction[[#This Row],[Downtime_Min]]&gt;Helper_Calculations!$B$4, "High", IF(tblProduction[[#This Row],[Downtime_Min]]&lt;Helper_Calculations!$B$3,"low","Medium"))</f>
        <v>low</v>
      </c>
      <c r="K214" s="42">
        <f>VLOOKUP(tblProduction[[#This Row],[Product_Type]],Defect_Table,4,FALSE)</f>
        <v>2.6075502200401161E-2</v>
      </c>
      <c r="L214" s="44">
        <f>VLOOKUP(tblProduction[[#This Row],[Line_ID]],Efficiency_Table,2,FALSE)</f>
        <v>83.481999999999985</v>
      </c>
    </row>
    <row r="215" spans="1:12" x14ac:dyDescent="0.2">
      <c r="A215" s="7" t="s">
        <v>32</v>
      </c>
      <c r="B215" s="6" t="s">
        <v>41</v>
      </c>
      <c r="C215" s="6" t="s">
        <v>42</v>
      </c>
      <c r="D215" s="17" t="s">
        <v>45</v>
      </c>
      <c r="E215" s="8">
        <v>293</v>
      </c>
      <c r="F215" s="8">
        <v>5</v>
      </c>
      <c r="G215" s="8">
        <v>50</v>
      </c>
      <c r="H215" s="6" t="s">
        <v>51</v>
      </c>
      <c r="I215" s="6">
        <v>94.63</v>
      </c>
      <c r="J215" s="6" t="str">
        <f>IF(tblProduction[[#This Row],[Downtime_Min]]&gt;Helper_Calculations!$B$4, "High", IF(tblProduction[[#This Row],[Downtime_Min]]&lt;Helper_Calculations!$B$3,"low","Medium"))</f>
        <v>High</v>
      </c>
      <c r="K215" s="42">
        <f>VLOOKUP(tblProduction[[#This Row],[Product_Type]],Defect_Table,4,FALSE)</f>
        <v>2.6075502200401161E-2</v>
      </c>
      <c r="L215" s="44">
        <f>VLOOKUP(tblProduction[[#This Row],[Line_ID]],Efficiency_Table,2,FALSE)</f>
        <v>84.103777777777793</v>
      </c>
    </row>
    <row r="216" spans="1:12" x14ac:dyDescent="0.2">
      <c r="A216" s="7" t="s">
        <v>32</v>
      </c>
      <c r="B216" s="6" t="s">
        <v>41</v>
      </c>
      <c r="C216" s="6" t="s">
        <v>43</v>
      </c>
      <c r="D216" s="17" t="s">
        <v>46</v>
      </c>
      <c r="E216" s="8">
        <v>393</v>
      </c>
      <c r="F216" s="8">
        <v>14</v>
      </c>
      <c r="G216" s="8">
        <v>10</v>
      </c>
      <c r="H216" s="6" t="s">
        <v>50</v>
      </c>
      <c r="I216" s="6">
        <v>87.15</v>
      </c>
      <c r="J216" s="6" t="str">
        <f>IF(tblProduction[[#This Row],[Downtime_Min]]&gt;Helper_Calculations!$B$4, "High", IF(tblProduction[[#This Row],[Downtime_Min]]&lt;Helper_Calculations!$B$3,"low","Medium"))</f>
        <v>low</v>
      </c>
      <c r="K216" s="42">
        <f>VLOOKUP(tblProduction[[#This Row],[Product_Type]],Defect_Table,4,FALSE)</f>
        <v>2.230142566191446E-2</v>
      </c>
      <c r="L216" s="44">
        <f>VLOOKUP(tblProduction[[#This Row],[Line_ID]],Efficiency_Table,2,FALSE)</f>
        <v>84.346333333333348</v>
      </c>
    </row>
    <row r="217" spans="1:12" x14ac:dyDescent="0.2">
      <c r="A217" s="7" t="s">
        <v>32</v>
      </c>
      <c r="B217" s="6" t="s">
        <v>41</v>
      </c>
      <c r="C217" s="6" t="s">
        <v>44</v>
      </c>
      <c r="D217" s="17" t="s">
        <v>47</v>
      </c>
      <c r="E217" s="8">
        <v>372</v>
      </c>
      <c r="F217" s="8">
        <v>11</v>
      </c>
      <c r="G217" s="8">
        <v>4</v>
      </c>
      <c r="H217" s="6" t="s">
        <v>54</v>
      </c>
      <c r="I217" s="6">
        <v>75.61</v>
      </c>
      <c r="J217" s="6" t="str">
        <f>IF(tblProduction[[#This Row],[Downtime_Min]]&gt;Helper_Calculations!$B$4, "High", IF(tblProduction[[#This Row],[Downtime_Min]]&lt;Helper_Calculations!$B$3,"low","Medium"))</f>
        <v>low</v>
      </c>
      <c r="K217" s="42">
        <f>VLOOKUP(tblProduction[[#This Row],[Product_Type]],Defect_Table,4,FALSE)</f>
        <v>2.5486680327868851E-2</v>
      </c>
      <c r="L217" s="44">
        <f>VLOOKUP(tblProduction[[#This Row],[Line_ID]],Efficiency_Table,2,FALSE)</f>
        <v>83.481999999999985</v>
      </c>
    </row>
    <row r="218" spans="1:12" x14ac:dyDescent="0.2">
      <c r="A218" s="7" t="s">
        <v>33</v>
      </c>
      <c r="B218" s="6" t="s">
        <v>39</v>
      </c>
      <c r="C218" s="6" t="s">
        <v>42</v>
      </c>
      <c r="D218" s="17" t="s">
        <v>46</v>
      </c>
      <c r="E218" s="8">
        <v>317</v>
      </c>
      <c r="F218" s="8">
        <v>3</v>
      </c>
      <c r="G218" s="8">
        <v>18</v>
      </c>
      <c r="H218" s="6" t="s">
        <v>52</v>
      </c>
      <c r="I218" s="6">
        <v>75.989999999999995</v>
      </c>
      <c r="J218" s="6" t="str">
        <f>IF(tblProduction[[#This Row],[Downtime_Min]]&gt;Helper_Calculations!$B$4, "High", IF(tblProduction[[#This Row],[Downtime_Min]]&lt;Helper_Calculations!$B$3,"low","Medium"))</f>
        <v>Medium</v>
      </c>
      <c r="K218" s="42">
        <f>VLOOKUP(tblProduction[[#This Row],[Product_Type]],Defect_Table,4,FALSE)</f>
        <v>2.230142566191446E-2</v>
      </c>
      <c r="L218" s="44">
        <f>VLOOKUP(tblProduction[[#This Row],[Line_ID]],Efficiency_Table,2,FALSE)</f>
        <v>84.103777777777793</v>
      </c>
    </row>
    <row r="219" spans="1:12" x14ac:dyDescent="0.2">
      <c r="A219" s="7" t="s">
        <v>33</v>
      </c>
      <c r="B219" s="6" t="s">
        <v>39</v>
      </c>
      <c r="C219" s="6" t="s">
        <v>43</v>
      </c>
      <c r="D219" s="17" t="s">
        <v>47</v>
      </c>
      <c r="E219" s="8">
        <v>219</v>
      </c>
      <c r="F219" s="8">
        <v>16</v>
      </c>
      <c r="G219" s="8">
        <v>11</v>
      </c>
      <c r="H219" s="6" t="s">
        <v>57</v>
      </c>
      <c r="I219" s="6">
        <v>73.45</v>
      </c>
      <c r="J219" s="6" t="str">
        <f>IF(tblProduction[[#This Row],[Downtime_Min]]&gt;Helper_Calculations!$B$4, "High", IF(tblProduction[[#This Row],[Downtime_Min]]&lt;Helper_Calculations!$B$3,"low","Medium"))</f>
        <v>low</v>
      </c>
      <c r="K219" s="42">
        <f>VLOOKUP(tblProduction[[#This Row],[Product_Type]],Defect_Table,4,FALSE)</f>
        <v>2.5486680327868851E-2</v>
      </c>
      <c r="L219" s="44">
        <f>VLOOKUP(tblProduction[[#This Row],[Line_ID]],Efficiency_Table,2,FALSE)</f>
        <v>84.346333333333348</v>
      </c>
    </row>
    <row r="220" spans="1:12" x14ac:dyDescent="0.2">
      <c r="A220" s="7" t="s">
        <v>33</v>
      </c>
      <c r="B220" s="6" t="s">
        <v>39</v>
      </c>
      <c r="C220" s="6" t="s">
        <v>44</v>
      </c>
      <c r="D220" s="17" t="s">
        <v>47</v>
      </c>
      <c r="E220" s="8">
        <v>289</v>
      </c>
      <c r="F220" s="8">
        <v>13</v>
      </c>
      <c r="G220" s="8">
        <v>37</v>
      </c>
      <c r="H220" s="6" t="s">
        <v>51</v>
      </c>
      <c r="I220" s="6">
        <v>87.44</v>
      </c>
      <c r="J220" s="6" t="str">
        <f>IF(tblProduction[[#This Row],[Downtime_Min]]&gt;Helper_Calculations!$B$4, "High", IF(tblProduction[[#This Row],[Downtime_Min]]&lt;Helper_Calculations!$B$3,"low","Medium"))</f>
        <v>Medium</v>
      </c>
      <c r="K220" s="42">
        <f>VLOOKUP(tblProduction[[#This Row],[Product_Type]],Defect_Table,4,FALSE)</f>
        <v>2.5486680327868851E-2</v>
      </c>
      <c r="L220" s="44">
        <f>VLOOKUP(tblProduction[[#This Row],[Line_ID]],Efficiency_Table,2,FALSE)</f>
        <v>83.481999999999985</v>
      </c>
    </row>
    <row r="221" spans="1:12" x14ac:dyDescent="0.2">
      <c r="A221" s="7" t="s">
        <v>33</v>
      </c>
      <c r="B221" s="6" t="s">
        <v>40</v>
      </c>
      <c r="C221" s="6" t="s">
        <v>42</v>
      </c>
      <c r="D221" s="17" t="s">
        <v>46</v>
      </c>
      <c r="E221" s="8">
        <v>338</v>
      </c>
      <c r="F221" s="8">
        <v>3</v>
      </c>
      <c r="G221" s="8">
        <v>12</v>
      </c>
      <c r="H221" s="6" t="s">
        <v>53</v>
      </c>
      <c r="I221" s="6">
        <v>85.98</v>
      </c>
      <c r="J221" s="6" t="str">
        <f>IF(tblProduction[[#This Row],[Downtime_Min]]&gt;Helper_Calculations!$B$4, "High", IF(tblProduction[[#This Row],[Downtime_Min]]&lt;Helper_Calculations!$B$3,"low","Medium"))</f>
        <v>low</v>
      </c>
      <c r="K221" s="42">
        <f>VLOOKUP(tblProduction[[#This Row],[Product_Type]],Defect_Table,4,FALSE)</f>
        <v>2.230142566191446E-2</v>
      </c>
      <c r="L221" s="44">
        <f>VLOOKUP(tblProduction[[#This Row],[Line_ID]],Efficiency_Table,2,FALSE)</f>
        <v>84.103777777777793</v>
      </c>
    </row>
    <row r="222" spans="1:12" x14ac:dyDescent="0.2">
      <c r="A222" s="7" t="s">
        <v>33</v>
      </c>
      <c r="B222" s="6" t="s">
        <v>40</v>
      </c>
      <c r="C222" s="6" t="s">
        <v>43</v>
      </c>
      <c r="D222" s="17" t="s">
        <v>46</v>
      </c>
      <c r="E222" s="8">
        <v>360</v>
      </c>
      <c r="F222" s="8">
        <v>5</v>
      </c>
      <c r="G222" s="8">
        <v>49</v>
      </c>
      <c r="H222" s="6" t="s">
        <v>57</v>
      </c>
      <c r="I222" s="6">
        <v>83.63</v>
      </c>
      <c r="J222" s="6" t="str">
        <f>IF(tblProduction[[#This Row],[Downtime_Min]]&gt;Helper_Calculations!$B$4, "High", IF(tblProduction[[#This Row],[Downtime_Min]]&lt;Helper_Calculations!$B$3,"low","Medium"))</f>
        <v>High</v>
      </c>
      <c r="K222" s="42">
        <f>VLOOKUP(tblProduction[[#This Row],[Product_Type]],Defect_Table,4,FALSE)</f>
        <v>2.230142566191446E-2</v>
      </c>
      <c r="L222" s="44">
        <f>VLOOKUP(tblProduction[[#This Row],[Line_ID]],Efficiency_Table,2,FALSE)</f>
        <v>84.346333333333348</v>
      </c>
    </row>
    <row r="223" spans="1:12" x14ac:dyDescent="0.2">
      <c r="A223" s="7" t="s">
        <v>33</v>
      </c>
      <c r="B223" s="6" t="s">
        <v>40</v>
      </c>
      <c r="C223" s="6" t="s">
        <v>44</v>
      </c>
      <c r="D223" s="17" t="s">
        <v>47</v>
      </c>
      <c r="E223" s="8">
        <v>460</v>
      </c>
      <c r="F223" s="8">
        <v>9</v>
      </c>
      <c r="G223" s="8">
        <v>43</v>
      </c>
      <c r="H223" s="6" t="s">
        <v>52</v>
      </c>
      <c r="I223" s="6">
        <v>76.05</v>
      </c>
      <c r="J223" s="6" t="str">
        <f>IF(tblProduction[[#This Row],[Downtime_Min]]&gt;Helper_Calculations!$B$4, "High", IF(tblProduction[[#This Row],[Downtime_Min]]&lt;Helper_Calculations!$B$3,"low","Medium"))</f>
        <v>Medium</v>
      </c>
      <c r="K223" s="42">
        <f>VLOOKUP(tblProduction[[#This Row],[Product_Type]],Defect_Table,4,FALSE)</f>
        <v>2.5486680327868851E-2</v>
      </c>
      <c r="L223" s="44">
        <f>VLOOKUP(tblProduction[[#This Row],[Line_ID]],Efficiency_Table,2,FALSE)</f>
        <v>83.481999999999985</v>
      </c>
    </row>
    <row r="224" spans="1:12" x14ac:dyDescent="0.2">
      <c r="A224" s="7" t="s">
        <v>33</v>
      </c>
      <c r="B224" s="6" t="s">
        <v>41</v>
      </c>
      <c r="C224" s="6" t="s">
        <v>42</v>
      </c>
      <c r="D224" s="17" t="s">
        <v>45</v>
      </c>
      <c r="E224" s="8">
        <v>367</v>
      </c>
      <c r="F224" s="8">
        <v>1</v>
      </c>
      <c r="G224" s="8">
        <v>19</v>
      </c>
      <c r="H224" s="6" t="s">
        <v>54</v>
      </c>
      <c r="I224" s="6">
        <v>77.64</v>
      </c>
      <c r="J224" s="6" t="str">
        <f>IF(tblProduction[[#This Row],[Downtime_Min]]&gt;Helper_Calculations!$B$4, "High", IF(tblProduction[[#This Row],[Downtime_Min]]&lt;Helper_Calculations!$B$3,"low","Medium"))</f>
        <v>Medium</v>
      </c>
      <c r="K224" s="42">
        <f>VLOOKUP(tblProduction[[#This Row],[Product_Type]],Defect_Table,4,FALSE)</f>
        <v>2.6075502200401161E-2</v>
      </c>
      <c r="L224" s="44">
        <f>VLOOKUP(tblProduction[[#This Row],[Line_ID]],Efficiency_Table,2,FALSE)</f>
        <v>84.103777777777793</v>
      </c>
    </row>
    <row r="225" spans="1:12" x14ac:dyDescent="0.2">
      <c r="A225" s="7" t="s">
        <v>33</v>
      </c>
      <c r="B225" s="6" t="s">
        <v>41</v>
      </c>
      <c r="C225" s="6" t="s">
        <v>43</v>
      </c>
      <c r="D225" s="17" t="s">
        <v>46</v>
      </c>
      <c r="E225" s="8">
        <v>300</v>
      </c>
      <c r="F225" s="8">
        <v>8</v>
      </c>
      <c r="G225" s="8">
        <v>16</v>
      </c>
      <c r="H225" s="6" t="s">
        <v>48</v>
      </c>
      <c r="I225" s="6">
        <v>73.5</v>
      </c>
      <c r="J225" s="6" t="str">
        <f>IF(tblProduction[[#This Row],[Downtime_Min]]&gt;Helper_Calculations!$B$4, "High", IF(tblProduction[[#This Row],[Downtime_Min]]&lt;Helper_Calculations!$B$3,"low","Medium"))</f>
        <v>low</v>
      </c>
      <c r="K225" s="42">
        <f>VLOOKUP(tblProduction[[#This Row],[Product_Type]],Defect_Table,4,FALSE)</f>
        <v>2.230142566191446E-2</v>
      </c>
      <c r="L225" s="44">
        <f>VLOOKUP(tblProduction[[#This Row],[Line_ID]],Efficiency_Table,2,FALSE)</f>
        <v>84.346333333333348</v>
      </c>
    </row>
    <row r="226" spans="1:12" x14ac:dyDescent="0.2">
      <c r="A226" s="7" t="s">
        <v>33</v>
      </c>
      <c r="B226" s="6" t="s">
        <v>41</v>
      </c>
      <c r="C226" s="6" t="s">
        <v>44</v>
      </c>
      <c r="D226" s="17" t="s">
        <v>46</v>
      </c>
      <c r="E226" s="8">
        <v>237</v>
      </c>
      <c r="F226" s="8">
        <v>2</v>
      </c>
      <c r="G226" s="8">
        <v>29</v>
      </c>
      <c r="H226" s="6" t="s">
        <v>48</v>
      </c>
      <c r="I226" s="6">
        <v>73.2</v>
      </c>
      <c r="J226" s="6" t="str">
        <f>IF(tblProduction[[#This Row],[Downtime_Min]]&gt;Helper_Calculations!$B$4, "High", IF(tblProduction[[#This Row],[Downtime_Min]]&lt;Helper_Calculations!$B$3,"low","Medium"))</f>
        <v>Medium</v>
      </c>
      <c r="K226" s="42">
        <f>VLOOKUP(tblProduction[[#This Row],[Product_Type]],Defect_Table,4,FALSE)</f>
        <v>2.230142566191446E-2</v>
      </c>
      <c r="L226" s="44">
        <f>VLOOKUP(tblProduction[[#This Row],[Line_ID]],Efficiency_Table,2,FALSE)</f>
        <v>83.481999999999985</v>
      </c>
    </row>
    <row r="227" spans="1:12" x14ac:dyDescent="0.2">
      <c r="A227" s="7" t="s">
        <v>34</v>
      </c>
      <c r="B227" s="6" t="s">
        <v>39</v>
      </c>
      <c r="C227" s="6" t="s">
        <v>42</v>
      </c>
      <c r="D227" s="17" t="s">
        <v>46</v>
      </c>
      <c r="E227" s="8">
        <v>268</v>
      </c>
      <c r="F227" s="8">
        <v>11</v>
      </c>
      <c r="G227" s="8">
        <v>49</v>
      </c>
      <c r="H227" s="6" t="s">
        <v>50</v>
      </c>
      <c r="I227" s="6">
        <v>73.73</v>
      </c>
      <c r="J227" s="6" t="str">
        <f>IF(tblProduction[[#This Row],[Downtime_Min]]&gt;Helper_Calculations!$B$4, "High", IF(tblProduction[[#This Row],[Downtime_Min]]&lt;Helper_Calculations!$B$3,"low","Medium"))</f>
        <v>High</v>
      </c>
      <c r="K227" s="42">
        <f>VLOOKUP(tblProduction[[#This Row],[Product_Type]],Defect_Table,4,FALSE)</f>
        <v>2.230142566191446E-2</v>
      </c>
      <c r="L227" s="44">
        <f>VLOOKUP(tblProduction[[#This Row],[Line_ID]],Efficiency_Table,2,FALSE)</f>
        <v>84.103777777777793</v>
      </c>
    </row>
    <row r="228" spans="1:12" x14ac:dyDescent="0.2">
      <c r="A228" s="7" t="s">
        <v>34</v>
      </c>
      <c r="B228" s="6" t="s">
        <v>39</v>
      </c>
      <c r="C228" s="6" t="s">
        <v>43</v>
      </c>
      <c r="D228" s="17" t="s">
        <v>47</v>
      </c>
      <c r="E228" s="8">
        <v>336</v>
      </c>
      <c r="F228" s="8">
        <v>1</v>
      </c>
      <c r="G228" s="8">
        <v>11</v>
      </c>
      <c r="H228" s="6" t="s">
        <v>50</v>
      </c>
      <c r="I228" s="6">
        <v>81.38</v>
      </c>
      <c r="J228" s="6" t="str">
        <f>IF(tblProduction[[#This Row],[Downtime_Min]]&gt;Helper_Calculations!$B$4, "High", IF(tblProduction[[#This Row],[Downtime_Min]]&lt;Helper_Calculations!$B$3,"low","Medium"))</f>
        <v>low</v>
      </c>
      <c r="K228" s="42">
        <f>VLOOKUP(tblProduction[[#This Row],[Product_Type]],Defect_Table,4,FALSE)</f>
        <v>2.5486680327868851E-2</v>
      </c>
      <c r="L228" s="44">
        <f>VLOOKUP(tblProduction[[#This Row],[Line_ID]],Efficiency_Table,2,FALSE)</f>
        <v>84.346333333333348</v>
      </c>
    </row>
    <row r="229" spans="1:12" x14ac:dyDescent="0.2">
      <c r="A229" s="7" t="s">
        <v>34</v>
      </c>
      <c r="B229" s="6" t="s">
        <v>39</v>
      </c>
      <c r="C229" s="6" t="s">
        <v>44</v>
      </c>
      <c r="D229" s="17" t="s">
        <v>47</v>
      </c>
      <c r="E229" s="8">
        <v>200</v>
      </c>
      <c r="F229" s="8">
        <v>7</v>
      </c>
      <c r="G229" s="8">
        <v>21</v>
      </c>
      <c r="H229" s="6" t="s">
        <v>52</v>
      </c>
      <c r="I229" s="6">
        <v>71.44</v>
      </c>
      <c r="J229" s="6" t="str">
        <f>IF(tblProduction[[#This Row],[Downtime_Min]]&gt;Helper_Calculations!$B$4, "High", IF(tblProduction[[#This Row],[Downtime_Min]]&lt;Helper_Calculations!$B$3,"low","Medium"))</f>
        <v>Medium</v>
      </c>
      <c r="K229" s="42">
        <f>VLOOKUP(tblProduction[[#This Row],[Product_Type]],Defect_Table,4,FALSE)</f>
        <v>2.5486680327868851E-2</v>
      </c>
      <c r="L229" s="44">
        <f>VLOOKUP(tblProduction[[#This Row],[Line_ID]],Efficiency_Table,2,FALSE)</f>
        <v>83.481999999999985</v>
      </c>
    </row>
    <row r="230" spans="1:12" x14ac:dyDescent="0.2">
      <c r="A230" s="7" t="s">
        <v>34</v>
      </c>
      <c r="B230" s="6" t="s">
        <v>40</v>
      </c>
      <c r="C230" s="6" t="s">
        <v>42</v>
      </c>
      <c r="D230" s="17" t="s">
        <v>47</v>
      </c>
      <c r="E230" s="8">
        <v>466</v>
      </c>
      <c r="F230" s="8">
        <v>8</v>
      </c>
      <c r="G230" s="8">
        <v>36</v>
      </c>
      <c r="H230" s="6" t="s">
        <v>52</v>
      </c>
      <c r="I230" s="6">
        <v>76.05</v>
      </c>
      <c r="J230" s="6" t="str">
        <f>IF(tblProduction[[#This Row],[Downtime_Min]]&gt;Helper_Calculations!$B$4, "High", IF(tblProduction[[#This Row],[Downtime_Min]]&lt;Helper_Calculations!$B$3,"low","Medium"))</f>
        <v>Medium</v>
      </c>
      <c r="K230" s="42">
        <f>VLOOKUP(tblProduction[[#This Row],[Product_Type]],Defect_Table,4,FALSE)</f>
        <v>2.5486680327868851E-2</v>
      </c>
      <c r="L230" s="44">
        <f>VLOOKUP(tblProduction[[#This Row],[Line_ID]],Efficiency_Table,2,FALSE)</f>
        <v>84.103777777777793</v>
      </c>
    </row>
    <row r="231" spans="1:12" x14ac:dyDescent="0.2">
      <c r="A231" s="7" t="s">
        <v>34</v>
      </c>
      <c r="B231" s="6" t="s">
        <v>40</v>
      </c>
      <c r="C231" s="6" t="s">
        <v>43</v>
      </c>
      <c r="D231" s="17" t="s">
        <v>46</v>
      </c>
      <c r="E231" s="8">
        <v>485</v>
      </c>
      <c r="F231" s="8">
        <v>2</v>
      </c>
      <c r="G231" s="8">
        <v>20</v>
      </c>
      <c r="H231" s="6" t="s">
        <v>50</v>
      </c>
      <c r="I231" s="6">
        <v>75.59</v>
      </c>
      <c r="J231" s="6" t="str">
        <f>IF(tblProduction[[#This Row],[Downtime_Min]]&gt;Helper_Calculations!$B$4, "High", IF(tblProduction[[#This Row],[Downtime_Min]]&lt;Helper_Calculations!$B$3,"low","Medium"))</f>
        <v>Medium</v>
      </c>
      <c r="K231" s="42">
        <f>VLOOKUP(tblProduction[[#This Row],[Product_Type]],Defect_Table,4,FALSE)</f>
        <v>2.230142566191446E-2</v>
      </c>
      <c r="L231" s="44">
        <f>VLOOKUP(tblProduction[[#This Row],[Line_ID]],Efficiency_Table,2,FALSE)</f>
        <v>84.346333333333348</v>
      </c>
    </row>
    <row r="232" spans="1:12" x14ac:dyDescent="0.2">
      <c r="A232" s="7" t="s">
        <v>34</v>
      </c>
      <c r="B232" s="6" t="s">
        <v>40</v>
      </c>
      <c r="C232" s="6" t="s">
        <v>44</v>
      </c>
      <c r="D232" s="17" t="s">
        <v>47</v>
      </c>
      <c r="E232" s="8">
        <v>277</v>
      </c>
      <c r="F232" s="8">
        <v>3</v>
      </c>
      <c r="G232" s="8">
        <v>24</v>
      </c>
      <c r="H232" s="6" t="s">
        <v>50</v>
      </c>
      <c r="I232" s="6">
        <v>96.32</v>
      </c>
      <c r="J232" s="6" t="str">
        <f>IF(tblProduction[[#This Row],[Downtime_Min]]&gt;Helper_Calculations!$B$4, "High", IF(tblProduction[[#This Row],[Downtime_Min]]&lt;Helper_Calculations!$B$3,"low","Medium"))</f>
        <v>Medium</v>
      </c>
      <c r="K232" s="42">
        <f>VLOOKUP(tblProduction[[#This Row],[Product_Type]],Defect_Table,4,FALSE)</f>
        <v>2.5486680327868851E-2</v>
      </c>
      <c r="L232" s="44">
        <f>VLOOKUP(tblProduction[[#This Row],[Line_ID]],Efficiency_Table,2,FALSE)</f>
        <v>83.481999999999985</v>
      </c>
    </row>
    <row r="233" spans="1:12" x14ac:dyDescent="0.2">
      <c r="A233" s="7" t="s">
        <v>34</v>
      </c>
      <c r="B233" s="6" t="s">
        <v>41</v>
      </c>
      <c r="C233" s="6" t="s">
        <v>42</v>
      </c>
      <c r="D233" s="17" t="s">
        <v>45</v>
      </c>
      <c r="E233" s="8">
        <v>288</v>
      </c>
      <c r="F233" s="8">
        <v>17</v>
      </c>
      <c r="G233" s="8">
        <v>39</v>
      </c>
      <c r="H233" s="6" t="s">
        <v>53</v>
      </c>
      <c r="I233" s="6">
        <v>83.56</v>
      </c>
      <c r="J233" s="6" t="str">
        <f>IF(tblProduction[[#This Row],[Downtime_Min]]&gt;Helper_Calculations!$B$4, "High", IF(tblProduction[[#This Row],[Downtime_Min]]&lt;Helper_Calculations!$B$3,"low","Medium"))</f>
        <v>Medium</v>
      </c>
      <c r="K233" s="42">
        <f>VLOOKUP(tblProduction[[#This Row],[Product_Type]],Defect_Table,4,FALSE)</f>
        <v>2.6075502200401161E-2</v>
      </c>
      <c r="L233" s="44">
        <f>VLOOKUP(tblProduction[[#This Row],[Line_ID]],Efficiency_Table,2,FALSE)</f>
        <v>84.103777777777793</v>
      </c>
    </row>
    <row r="234" spans="1:12" x14ac:dyDescent="0.2">
      <c r="A234" s="7" t="s">
        <v>34</v>
      </c>
      <c r="B234" s="6" t="s">
        <v>41</v>
      </c>
      <c r="C234" s="6" t="s">
        <v>43</v>
      </c>
      <c r="D234" s="17" t="s">
        <v>45</v>
      </c>
      <c r="E234" s="8">
        <v>303</v>
      </c>
      <c r="F234" s="8">
        <v>13</v>
      </c>
      <c r="G234" s="8">
        <v>31</v>
      </c>
      <c r="H234" s="6" t="s">
        <v>50</v>
      </c>
      <c r="I234" s="6">
        <v>83.88</v>
      </c>
      <c r="J234" s="6" t="str">
        <f>IF(tblProduction[[#This Row],[Downtime_Min]]&gt;Helper_Calculations!$B$4, "High", IF(tblProduction[[#This Row],[Downtime_Min]]&lt;Helper_Calculations!$B$3,"low","Medium"))</f>
        <v>Medium</v>
      </c>
      <c r="K234" s="42">
        <f>VLOOKUP(tblProduction[[#This Row],[Product_Type]],Defect_Table,4,FALSE)</f>
        <v>2.6075502200401161E-2</v>
      </c>
      <c r="L234" s="44">
        <f>VLOOKUP(tblProduction[[#This Row],[Line_ID]],Efficiency_Table,2,FALSE)</f>
        <v>84.346333333333348</v>
      </c>
    </row>
    <row r="235" spans="1:12" x14ac:dyDescent="0.2">
      <c r="A235" s="7" t="s">
        <v>34</v>
      </c>
      <c r="B235" s="6" t="s">
        <v>41</v>
      </c>
      <c r="C235" s="6" t="s">
        <v>44</v>
      </c>
      <c r="D235" s="17" t="s">
        <v>47</v>
      </c>
      <c r="E235" s="8">
        <v>222</v>
      </c>
      <c r="F235" s="8">
        <v>14</v>
      </c>
      <c r="G235" s="8">
        <v>32</v>
      </c>
      <c r="H235" s="6" t="s">
        <v>56</v>
      </c>
      <c r="I235" s="6">
        <v>76.97</v>
      </c>
      <c r="J235" s="6" t="str">
        <f>IF(tblProduction[[#This Row],[Downtime_Min]]&gt;Helper_Calculations!$B$4, "High", IF(tblProduction[[#This Row],[Downtime_Min]]&lt;Helper_Calculations!$B$3,"low","Medium"))</f>
        <v>Medium</v>
      </c>
      <c r="K235" s="42">
        <f>VLOOKUP(tblProduction[[#This Row],[Product_Type]],Defect_Table,4,FALSE)</f>
        <v>2.5486680327868851E-2</v>
      </c>
      <c r="L235" s="44">
        <f>VLOOKUP(tblProduction[[#This Row],[Line_ID]],Efficiency_Table,2,FALSE)</f>
        <v>83.481999999999985</v>
      </c>
    </row>
    <row r="236" spans="1:12" x14ac:dyDescent="0.2">
      <c r="A236" s="7" t="s">
        <v>35</v>
      </c>
      <c r="B236" s="6" t="s">
        <v>39</v>
      </c>
      <c r="C236" s="6" t="s">
        <v>42</v>
      </c>
      <c r="D236" s="17" t="s">
        <v>45</v>
      </c>
      <c r="E236" s="8">
        <v>424</v>
      </c>
      <c r="F236" s="8">
        <v>14</v>
      </c>
      <c r="G236" s="8">
        <v>54</v>
      </c>
      <c r="H236" s="6" t="s">
        <v>57</v>
      </c>
      <c r="I236" s="6">
        <v>85.96</v>
      </c>
      <c r="J236" s="6" t="str">
        <f>IF(tblProduction[[#This Row],[Downtime_Min]]&gt;Helper_Calculations!$B$4, "High", IF(tblProduction[[#This Row],[Downtime_Min]]&lt;Helper_Calculations!$B$3,"low","Medium"))</f>
        <v>High</v>
      </c>
      <c r="K236" s="42">
        <f>VLOOKUP(tblProduction[[#This Row],[Product_Type]],Defect_Table,4,FALSE)</f>
        <v>2.6075502200401161E-2</v>
      </c>
      <c r="L236" s="44">
        <f>VLOOKUP(tblProduction[[#This Row],[Line_ID]],Efficiency_Table,2,FALSE)</f>
        <v>84.103777777777793</v>
      </c>
    </row>
    <row r="237" spans="1:12" x14ac:dyDescent="0.2">
      <c r="A237" s="7" t="s">
        <v>35</v>
      </c>
      <c r="B237" s="6" t="s">
        <v>39</v>
      </c>
      <c r="C237" s="6" t="s">
        <v>43</v>
      </c>
      <c r="D237" s="17" t="s">
        <v>45</v>
      </c>
      <c r="E237" s="8">
        <v>303</v>
      </c>
      <c r="F237" s="8">
        <v>7</v>
      </c>
      <c r="G237" s="8">
        <v>50</v>
      </c>
      <c r="H237" s="6" t="s">
        <v>49</v>
      </c>
      <c r="I237" s="6">
        <v>86.29</v>
      </c>
      <c r="J237" s="6" t="str">
        <f>IF(tblProduction[[#This Row],[Downtime_Min]]&gt;Helper_Calculations!$B$4, "High", IF(tblProduction[[#This Row],[Downtime_Min]]&lt;Helper_Calculations!$B$3,"low","Medium"))</f>
        <v>High</v>
      </c>
      <c r="K237" s="42">
        <f>VLOOKUP(tblProduction[[#This Row],[Product_Type]],Defect_Table,4,FALSE)</f>
        <v>2.6075502200401161E-2</v>
      </c>
      <c r="L237" s="44">
        <f>VLOOKUP(tblProduction[[#This Row],[Line_ID]],Efficiency_Table,2,FALSE)</f>
        <v>84.346333333333348</v>
      </c>
    </row>
    <row r="238" spans="1:12" x14ac:dyDescent="0.2">
      <c r="A238" s="7" t="s">
        <v>35</v>
      </c>
      <c r="B238" s="6" t="s">
        <v>39</v>
      </c>
      <c r="C238" s="6" t="s">
        <v>44</v>
      </c>
      <c r="D238" s="17" t="s">
        <v>45</v>
      </c>
      <c r="E238" s="8">
        <v>397</v>
      </c>
      <c r="F238" s="8">
        <v>5</v>
      </c>
      <c r="G238" s="8">
        <v>2</v>
      </c>
      <c r="H238" s="6" t="s">
        <v>55</v>
      </c>
      <c r="I238" s="6">
        <v>88.83</v>
      </c>
      <c r="J238" s="6" t="str">
        <f>IF(tblProduction[[#This Row],[Downtime_Min]]&gt;Helper_Calculations!$B$4, "High", IF(tblProduction[[#This Row],[Downtime_Min]]&lt;Helper_Calculations!$B$3,"low","Medium"))</f>
        <v>low</v>
      </c>
      <c r="K238" s="42">
        <f>VLOOKUP(tblProduction[[#This Row],[Product_Type]],Defect_Table,4,FALSE)</f>
        <v>2.6075502200401161E-2</v>
      </c>
      <c r="L238" s="44">
        <f>VLOOKUP(tblProduction[[#This Row],[Line_ID]],Efficiency_Table,2,FALSE)</f>
        <v>83.481999999999985</v>
      </c>
    </row>
    <row r="239" spans="1:12" x14ac:dyDescent="0.2">
      <c r="A239" s="7" t="s">
        <v>35</v>
      </c>
      <c r="B239" s="6" t="s">
        <v>40</v>
      </c>
      <c r="C239" s="6" t="s">
        <v>42</v>
      </c>
      <c r="D239" s="17" t="s">
        <v>45</v>
      </c>
      <c r="E239" s="8">
        <v>241</v>
      </c>
      <c r="F239" s="8">
        <v>19</v>
      </c>
      <c r="G239" s="8">
        <v>14</v>
      </c>
      <c r="H239" s="6" t="s">
        <v>56</v>
      </c>
      <c r="I239" s="6">
        <v>96.36</v>
      </c>
      <c r="J239" s="6" t="str">
        <f>IF(tblProduction[[#This Row],[Downtime_Min]]&gt;Helper_Calculations!$B$4, "High", IF(tblProduction[[#This Row],[Downtime_Min]]&lt;Helper_Calculations!$B$3,"low","Medium"))</f>
        <v>low</v>
      </c>
      <c r="K239" s="42">
        <f>VLOOKUP(tblProduction[[#This Row],[Product_Type]],Defect_Table,4,FALSE)</f>
        <v>2.6075502200401161E-2</v>
      </c>
      <c r="L239" s="44">
        <f>VLOOKUP(tblProduction[[#This Row],[Line_ID]],Efficiency_Table,2,FALSE)</f>
        <v>84.103777777777793</v>
      </c>
    </row>
    <row r="240" spans="1:12" x14ac:dyDescent="0.2">
      <c r="A240" s="7" t="s">
        <v>35</v>
      </c>
      <c r="B240" s="6" t="s">
        <v>40</v>
      </c>
      <c r="C240" s="6" t="s">
        <v>43</v>
      </c>
      <c r="D240" s="17" t="s">
        <v>47</v>
      </c>
      <c r="E240" s="8">
        <v>488</v>
      </c>
      <c r="F240" s="8">
        <v>19</v>
      </c>
      <c r="G240" s="8">
        <v>29</v>
      </c>
      <c r="H240" s="6" t="s">
        <v>50</v>
      </c>
      <c r="I240" s="6">
        <v>96.82</v>
      </c>
      <c r="J240" s="6" t="str">
        <f>IF(tblProduction[[#This Row],[Downtime_Min]]&gt;Helper_Calculations!$B$4, "High", IF(tblProduction[[#This Row],[Downtime_Min]]&lt;Helper_Calculations!$B$3,"low","Medium"))</f>
        <v>Medium</v>
      </c>
      <c r="K240" s="42">
        <f>VLOOKUP(tblProduction[[#This Row],[Product_Type]],Defect_Table,4,FALSE)</f>
        <v>2.5486680327868851E-2</v>
      </c>
      <c r="L240" s="44">
        <f>VLOOKUP(tblProduction[[#This Row],[Line_ID]],Efficiency_Table,2,FALSE)</f>
        <v>84.346333333333348</v>
      </c>
    </row>
    <row r="241" spans="1:12" x14ac:dyDescent="0.2">
      <c r="A241" s="7" t="s">
        <v>35</v>
      </c>
      <c r="B241" s="6" t="s">
        <v>40</v>
      </c>
      <c r="C241" s="6" t="s">
        <v>44</v>
      </c>
      <c r="D241" s="17" t="s">
        <v>46</v>
      </c>
      <c r="E241" s="8">
        <v>356</v>
      </c>
      <c r="F241" s="8">
        <v>5</v>
      </c>
      <c r="G241" s="8">
        <v>56</v>
      </c>
      <c r="H241" s="6" t="s">
        <v>54</v>
      </c>
      <c r="I241" s="6">
        <v>79.349999999999994</v>
      </c>
      <c r="J241" s="6" t="str">
        <f>IF(tblProduction[[#This Row],[Downtime_Min]]&gt;Helper_Calculations!$B$4, "High", IF(tblProduction[[#This Row],[Downtime_Min]]&lt;Helper_Calculations!$B$3,"low","Medium"))</f>
        <v>High</v>
      </c>
      <c r="K241" s="42">
        <f>VLOOKUP(tblProduction[[#This Row],[Product_Type]],Defect_Table,4,FALSE)</f>
        <v>2.230142566191446E-2</v>
      </c>
      <c r="L241" s="44">
        <f>VLOOKUP(tblProduction[[#This Row],[Line_ID]],Efficiency_Table,2,FALSE)</f>
        <v>83.481999999999985</v>
      </c>
    </row>
    <row r="242" spans="1:12" x14ac:dyDescent="0.2">
      <c r="A242" s="7" t="s">
        <v>35</v>
      </c>
      <c r="B242" s="6" t="s">
        <v>41</v>
      </c>
      <c r="C242" s="6" t="s">
        <v>42</v>
      </c>
      <c r="D242" s="17" t="s">
        <v>47</v>
      </c>
      <c r="E242" s="8">
        <v>488</v>
      </c>
      <c r="F242" s="8">
        <v>3</v>
      </c>
      <c r="G242" s="8">
        <v>21</v>
      </c>
      <c r="H242" s="6" t="s">
        <v>52</v>
      </c>
      <c r="I242" s="6">
        <v>91.42</v>
      </c>
      <c r="J242" s="6" t="str">
        <f>IF(tblProduction[[#This Row],[Downtime_Min]]&gt;Helper_Calculations!$B$4, "High", IF(tblProduction[[#This Row],[Downtime_Min]]&lt;Helper_Calculations!$B$3,"low","Medium"))</f>
        <v>Medium</v>
      </c>
      <c r="K242" s="42">
        <f>VLOOKUP(tblProduction[[#This Row],[Product_Type]],Defect_Table,4,FALSE)</f>
        <v>2.5486680327868851E-2</v>
      </c>
      <c r="L242" s="44">
        <f>VLOOKUP(tblProduction[[#This Row],[Line_ID]],Efficiency_Table,2,FALSE)</f>
        <v>84.103777777777793</v>
      </c>
    </row>
    <row r="243" spans="1:12" x14ac:dyDescent="0.2">
      <c r="A243" s="7" t="s">
        <v>35</v>
      </c>
      <c r="B243" s="6" t="s">
        <v>41</v>
      </c>
      <c r="C243" s="6" t="s">
        <v>43</v>
      </c>
      <c r="D243" s="17" t="s">
        <v>45</v>
      </c>
      <c r="E243" s="8">
        <v>204</v>
      </c>
      <c r="F243" s="8">
        <v>9</v>
      </c>
      <c r="G243" s="8">
        <v>32</v>
      </c>
      <c r="H243" s="6" t="s">
        <v>53</v>
      </c>
      <c r="I243" s="6">
        <v>73.09</v>
      </c>
      <c r="J243" s="6" t="str">
        <f>IF(tblProduction[[#This Row],[Downtime_Min]]&gt;Helper_Calculations!$B$4, "High", IF(tblProduction[[#This Row],[Downtime_Min]]&lt;Helper_Calculations!$B$3,"low","Medium"))</f>
        <v>Medium</v>
      </c>
      <c r="K243" s="42">
        <f>VLOOKUP(tblProduction[[#This Row],[Product_Type]],Defect_Table,4,FALSE)</f>
        <v>2.6075502200401161E-2</v>
      </c>
      <c r="L243" s="44">
        <f>VLOOKUP(tblProduction[[#This Row],[Line_ID]],Efficiency_Table,2,FALSE)</f>
        <v>84.346333333333348</v>
      </c>
    </row>
    <row r="244" spans="1:12" x14ac:dyDescent="0.2">
      <c r="A244" s="7" t="s">
        <v>35</v>
      </c>
      <c r="B244" s="6" t="s">
        <v>41</v>
      </c>
      <c r="C244" s="6" t="s">
        <v>44</v>
      </c>
      <c r="D244" s="17" t="s">
        <v>45</v>
      </c>
      <c r="E244" s="8">
        <v>358</v>
      </c>
      <c r="F244" s="8">
        <v>14</v>
      </c>
      <c r="G244" s="8">
        <v>35</v>
      </c>
      <c r="H244" s="6" t="s">
        <v>57</v>
      </c>
      <c r="I244" s="6">
        <v>83.71</v>
      </c>
      <c r="J244" s="6" t="str">
        <f>IF(tblProduction[[#This Row],[Downtime_Min]]&gt;Helper_Calculations!$B$4, "High", IF(tblProduction[[#This Row],[Downtime_Min]]&lt;Helper_Calculations!$B$3,"low","Medium"))</f>
        <v>Medium</v>
      </c>
      <c r="K244" s="42">
        <f>VLOOKUP(tblProduction[[#This Row],[Product_Type]],Defect_Table,4,FALSE)</f>
        <v>2.6075502200401161E-2</v>
      </c>
      <c r="L244" s="44">
        <f>VLOOKUP(tblProduction[[#This Row],[Line_ID]],Efficiency_Table,2,FALSE)</f>
        <v>83.481999999999985</v>
      </c>
    </row>
    <row r="245" spans="1:12" x14ac:dyDescent="0.2">
      <c r="A245" s="7" t="s">
        <v>36</v>
      </c>
      <c r="B245" s="6" t="s">
        <v>39</v>
      </c>
      <c r="C245" s="6" t="s">
        <v>42</v>
      </c>
      <c r="D245" s="17" t="s">
        <v>47</v>
      </c>
      <c r="E245" s="8">
        <v>383</v>
      </c>
      <c r="F245" s="8">
        <v>14</v>
      </c>
      <c r="G245" s="8">
        <v>28</v>
      </c>
      <c r="H245" s="6" t="s">
        <v>53</v>
      </c>
      <c r="I245" s="6">
        <v>86.2</v>
      </c>
      <c r="J245" s="6" t="str">
        <f>IF(tblProduction[[#This Row],[Downtime_Min]]&gt;Helper_Calculations!$B$4, "High", IF(tblProduction[[#This Row],[Downtime_Min]]&lt;Helper_Calculations!$B$3,"low","Medium"))</f>
        <v>Medium</v>
      </c>
      <c r="K245" s="42">
        <f>VLOOKUP(tblProduction[[#This Row],[Product_Type]],Defect_Table,4,FALSE)</f>
        <v>2.5486680327868851E-2</v>
      </c>
      <c r="L245" s="44">
        <f>VLOOKUP(tblProduction[[#This Row],[Line_ID]],Efficiency_Table,2,FALSE)</f>
        <v>84.103777777777793</v>
      </c>
    </row>
    <row r="246" spans="1:12" x14ac:dyDescent="0.2">
      <c r="A246" s="7" t="s">
        <v>36</v>
      </c>
      <c r="B246" s="6" t="s">
        <v>39</v>
      </c>
      <c r="C246" s="6" t="s">
        <v>43</v>
      </c>
      <c r="D246" s="17" t="s">
        <v>45</v>
      </c>
      <c r="E246" s="8">
        <v>356</v>
      </c>
      <c r="F246" s="8">
        <v>14</v>
      </c>
      <c r="G246" s="8">
        <v>3</v>
      </c>
      <c r="H246" s="6" t="s">
        <v>56</v>
      </c>
      <c r="I246" s="6">
        <v>91.67</v>
      </c>
      <c r="J246" s="6" t="str">
        <f>IF(tblProduction[[#This Row],[Downtime_Min]]&gt;Helper_Calculations!$B$4, "High", IF(tblProduction[[#This Row],[Downtime_Min]]&lt;Helper_Calculations!$B$3,"low","Medium"))</f>
        <v>low</v>
      </c>
      <c r="K246" s="42">
        <f>VLOOKUP(tblProduction[[#This Row],[Product_Type]],Defect_Table,4,FALSE)</f>
        <v>2.6075502200401161E-2</v>
      </c>
      <c r="L246" s="44">
        <f>VLOOKUP(tblProduction[[#This Row],[Line_ID]],Efficiency_Table,2,FALSE)</f>
        <v>84.346333333333348</v>
      </c>
    </row>
    <row r="247" spans="1:12" x14ac:dyDescent="0.2">
      <c r="A247" s="7" t="s">
        <v>36</v>
      </c>
      <c r="B247" s="6" t="s">
        <v>39</v>
      </c>
      <c r="C247" s="6" t="s">
        <v>44</v>
      </c>
      <c r="D247" s="17" t="s">
        <v>45</v>
      </c>
      <c r="E247" s="8">
        <v>329</v>
      </c>
      <c r="F247" s="8">
        <v>18</v>
      </c>
      <c r="G247" s="8">
        <v>50</v>
      </c>
      <c r="H247" s="6" t="s">
        <v>49</v>
      </c>
      <c r="I247" s="6">
        <v>86.97</v>
      </c>
      <c r="J247" s="6" t="str">
        <f>IF(tblProduction[[#This Row],[Downtime_Min]]&gt;Helper_Calculations!$B$4, "High", IF(tblProduction[[#This Row],[Downtime_Min]]&lt;Helper_Calculations!$B$3,"low","Medium"))</f>
        <v>High</v>
      </c>
      <c r="K247" s="42">
        <f>VLOOKUP(tblProduction[[#This Row],[Product_Type]],Defect_Table,4,FALSE)</f>
        <v>2.6075502200401161E-2</v>
      </c>
      <c r="L247" s="44">
        <f>VLOOKUP(tblProduction[[#This Row],[Line_ID]],Efficiency_Table,2,FALSE)</f>
        <v>83.481999999999985</v>
      </c>
    </row>
    <row r="248" spans="1:12" x14ac:dyDescent="0.2">
      <c r="A248" s="7" t="s">
        <v>36</v>
      </c>
      <c r="B248" s="6" t="s">
        <v>40</v>
      </c>
      <c r="C248" s="6" t="s">
        <v>42</v>
      </c>
      <c r="D248" s="17" t="s">
        <v>46</v>
      </c>
      <c r="E248" s="8">
        <v>481</v>
      </c>
      <c r="F248" s="8">
        <v>10</v>
      </c>
      <c r="G248" s="8">
        <v>26</v>
      </c>
      <c r="H248" s="6" t="s">
        <v>49</v>
      </c>
      <c r="I248" s="6">
        <v>80.37</v>
      </c>
      <c r="J248" s="6" t="str">
        <f>IF(tblProduction[[#This Row],[Downtime_Min]]&gt;Helper_Calculations!$B$4, "High", IF(tblProduction[[#This Row],[Downtime_Min]]&lt;Helper_Calculations!$B$3,"low","Medium"))</f>
        <v>Medium</v>
      </c>
      <c r="K248" s="42">
        <f>VLOOKUP(tblProduction[[#This Row],[Product_Type]],Defect_Table,4,FALSE)</f>
        <v>2.230142566191446E-2</v>
      </c>
      <c r="L248" s="44">
        <f>VLOOKUP(tblProduction[[#This Row],[Line_ID]],Efficiency_Table,2,FALSE)</f>
        <v>84.103777777777793</v>
      </c>
    </row>
    <row r="249" spans="1:12" x14ac:dyDescent="0.2">
      <c r="A249" s="7" t="s">
        <v>36</v>
      </c>
      <c r="B249" s="6" t="s">
        <v>40</v>
      </c>
      <c r="C249" s="6" t="s">
        <v>43</v>
      </c>
      <c r="D249" s="17" t="s">
        <v>47</v>
      </c>
      <c r="E249" s="8">
        <v>210</v>
      </c>
      <c r="F249" s="8">
        <v>9</v>
      </c>
      <c r="G249" s="8">
        <v>39</v>
      </c>
      <c r="H249" s="6" t="s">
        <v>51</v>
      </c>
      <c r="I249" s="6">
        <v>87.5</v>
      </c>
      <c r="J249" s="6" t="str">
        <f>IF(tblProduction[[#This Row],[Downtime_Min]]&gt;Helper_Calculations!$B$4, "High", IF(tblProduction[[#This Row],[Downtime_Min]]&lt;Helper_Calculations!$B$3,"low","Medium"))</f>
        <v>Medium</v>
      </c>
      <c r="K249" s="42">
        <f>VLOOKUP(tblProduction[[#This Row],[Product_Type]],Defect_Table,4,FALSE)</f>
        <v>2.5486680327868851E-2</v>
      </c>
      <c r="L249" s="44">
        <f>VLOOKUP(tblProduction[[#This Row],[Line_ID]],Efficiency_Table,2,FALSE)</f>
        <v>84.346333333333348</v>
      </c>
    </row>
    <row r="250" spans="1:12" x14ac:dyDescent="0.2">
      <c r="A250" s="7" t="s">
        <v>36</v>
      </c>
      <c r="B250" s="6" t="s">
        <v>40</v>
      </c>
      <c r="C250" s="6" t="s">
        <v>44</v>
      </c>
      <c r="D250" s="17" t="s">
        <v>45</v>
      </c>
      <c r="E250" s="8">
        <v>399</v>
      </c>
      <c r="F250" s="8">
        <v>14</v>
      </c>
      <c r="G250" s="8">
        <v>25</v>
      </c>
      <c r="H250" s="6" t="s">
        <v>55</v>
      </c>
      <c r="I250" s="6">
        <v>98.42</v>
      </c>
      <c r="J250" s="6" t="str">
        <f>IF(tblProduction[[#This Row],[Downtime_Min]]&gt;Helper_Calculations!$B$4, "High", IF(tblProduction[[#This Row],[Downtime_Min]]&lt;Helper_Calculations!$B$3,"low","Medium"))</f>
        <v>Medium</v>
      </c>
      <c r="K250" s="42">
        <f>VLOOKUP(tblProduction[[#This Row],[Product_Type]],Defect_Table,4,FALSE)</f>
        <v>2.6075502200401161E-2</v>
      </c>
      <c r="L250" s="44">
        <f>VLOOKUP(tblProduction[[#This Row],[Line_ID]],Efficiency_Table,2,FALSE)</f>
        <v>83.481999999999985</v>
      </c>
    </row>
    <row r="251" spans="1:12" x14ac:dyDescent="0.2">
      <c r="A251" s="7" t="s">
        <v>36</v>
      </c>
      <c r="B251" s="6" t="s">
        <v>41</v>
      </c>
      <c r="C251" s="6" t="s">
        <v>42</v>
      </c>
      <c r="D251" s="17" t="s">
        <v>47</v>
      </c>
      <c r="E251" s="8">
        <v>417</v>
      </c>
      <c r="F251" s="8">
        <v>12</v>
      </c>
      <c r="G251" s="8">
        <v>39</v>
      </c>
      <c r="H251" s="6" t="s">
        <v>55</v>
      </c>
      <c r="I251" s="6">
        <v>85.18</v>
      </c>
      <c r="J251" s="6" t="str">
        <f>IF(tblProduction[[#This Row],[Downtime_Min]]&gt;Helper_Calculations!$B$4, "High", IF(tblProduction[[#This Row],[Downtime_Min]]&lt;Helper_Calculations!$B$3,"low","Medium"))</f>
        <v>Medium</v>
      </c>
      <c r="K251" s="42">
        <f>VLOOKUP(tblProduction[[#This Row],[Product_Type]],Defect_Table,4,FALSE)</f>
        <v>2.5486680327868851E-2</v>
      </c>
      <c r="L251" s="44">
        <f>VLOOKUP(tblProduction[[#This Row],[Line_ID]],Efficiency_Table,2,FALSE)</f>
        <v>84.103777777777793</v>
      </c>
    </row>
    <row r="252" spans="1:12" x14ac:dyDescent="0.2">
      <c r="A252" s="7" t="s">
        <v>36</v>
      </c>
      <c r="B252" s="6" t="s">
        <v>41</v>
      </c>
      <c r="C252" s="6" t="s">
        <v>43</v>
      </c>
      <c r="D252" s="17" t="s">
        <v>45</v>
      </c>
      <c r="E252" s="8">
        <v>310</v>
      </c>
      <c r="F252" s="8">
        <v>7</v>
      </c>
      <c r="G252" s="8">
        <v>59</v>
      </c>
      <c r="H252" s="6" t="s">
        <v>57</v>
      </c>
      <c r="I252" s="6">
        <v>87.79</v>
      </c>
      <c r="J252" s="6" t="str">
        <f>IF(tblProduction[[#This Row],[Downtime_Min]]&gt;Helper_Calculations!$B$4, "High", IF(tblProduction[[#This Row],[Downtime_Min]]&lt;Helper_Calculations!$B$3,"low","Medium"))</f>
        <v>High</v>
      </c>
      <c r="K252" s="42">
        <f>VLOOKUP(tblProduction[[#This Row],[Product_Type]],Defect_Table,4,FALSE)</f>
        <v>2.6075502200401161E-2</v>
      </c>
      <c r="L252" s="44">
        <f>VLOOKUP(tblProduction[[#This Row],[Line_ID]],Efficiency_Table,2,FALSE)</f>
        <v>84.346333333333348</v>
      </c>
    </row>
    <row r="253" spans="1:12" x14ac:dyDescent="0.2">
      <c r="A253" s="7" t="s">
        <v>36</v>
      </c>
      <c r="B253" s="6" t="s">
        <v>41</v>
      </c>
      <c r="C253" s="6" t="s">
        <v>44</v>
      </c>
      <c r="D253" s="17" t="s">
        <v>47</v>
      </c>
      <c r="E253" s="8">
        <v>332</v>
      </c>
      <c r="F253" s="8">
        <v>4</v>
      </c>
      <c r="G253" s="8">
        <v>7</v>
      </c>
      <c r="H253" s="6" t="s">
        <v>53</v>
      </c>
      <c r="I253" s="6">
        <v>89.54</v>
      </c>
      <c r="J253" s="6" t="str">
        <f>IF(tblProduction[[#This Row],[Downtime_Min]]&gt;Helper_Calculations!$B$4, "High", IF(tblProduction[[#This Row],[Downtime_Min]]&lt;Helper_Calculations!$B$3,"low","Medium"))</f>
        <v>low</v>
      </c>
      <c r="K253" s="42">
        <f>VLOOKUP(tblProduction[[#This Row],[Product_Type]],Defect_Table,4,FALSE)</f>
        <v>2.5486680327868851E-2</v>
      </c>
      <c r="L253" s="44">
        <f>VLOOKUP(tblProduction[[#This Row],[Line_ID]],Efficiency_Table,2,FALSE)</f>
        <v>83.481999999999985</v>
      </c>
    </row>
    <row r="254" spans="1:12" x14ac:dyDescent="0.2">
      <c r="A254" s="7" t="s">
        <v>37</v>
      </c>
      <c r="B254" s="6" t="s">
        <v>39</v>
      </c>
      <c r="C254" s="6" t="s">
        <v>42</v>
      </c>
      <c r="D254" s="17" t="s">
        <v>45</v>
      </c>
      <c r="E254" s="8">
        <v>291</v>
      </c>
      <c r="F254" s="8">
        <v>8</v>
      </c>
      <c r="G254" s="8">
        <v>53</v>
      </c>
      <c r="H254" s="6" t="s">
        <v>55</v>
      </c>
      <c r="I254" s="6">
        <v>72.319999999999993</v>
      </c>
      <c r="J254" s="6" t="str">
        <f>IF(tblProduction[[#This Row],[Downtime_Min]]&gt;Helper_Calculations!$B$4, "High", IF(tblProduction[[#This Row],[Downtime_Min]]&lt;Helper_Calculations!$B$3,"low","Medium"))</f>
        <v>High</v>
      </c>
      <c r="K254" s="42">
        <f>VLOOKUP(tblProduction[[#This Row],[Product_Type]],Defect_Table,4,FALSE)</f>
        <v>2.6075502200401161E-2</v>
      </c>
      <c r="L254" s="44">
        <f>VLOOKUP(tblProduction[[#This Row],[Line_ID]],Efficiency_Table,2,FALSE)</f>
        <v>84.103777777777793</v>
      </c>
    </row>
    <row r="255" spans="1:12" x14ac:dyDescent="0.2">
      <c r="A255" s="7" t="s">
        <v>37</v>
      </c>
      <c r="B255" s="6" t="s">
        <v>39</v>
      </c>
      <c r="C255" s="6" t="s">
        <v>43</v>
      </c>
      <c r="D255" s="17" t="s">
        <v>47</v>
      </c>
      <c r="E255" s="8">
        <v>495</v>
      </c>
      <c r="F255" s="8">
        <v>8</v>
      </c>
      <c r="G255" s="8">
        <v>21</v>
      </c>
      <c r="H255" s="6" t="s">
        <v>54</v>
      </c>
      <c r="I255" s="6">
        <v>97.32</v>
      </c>
      <c r="J255" s="6" t="str">
        <f>IF(tblProduction[[#This Row],[Downtime_Min]]&gt;Helper_Calculations!$B$4, "High", IF(tblProduction[[#This Row],[Downtime_Min]]&lt;Helper_Calculations!$B$3,"low","Medium"))</f>
        <v>Medium</v>
      </c>
      <c r="K255" s="42">
        <f>VLOOKUP(tblProduction[[#This Row],[Product_Type]],Defect_Table,4,FALSE)</f>
        <v>2.5486680327868851E-2</v>
      </c>
      <c r="L255" s="44">
        <f>VLOOKUP(tblProduction[[#This Row],[Line_ID]],Efficiency_Table,2,FALSE)</f>
        <v>84.346333333333348</v>
      </c>
    </row>
    <row r="256" spans="1:12" x14ac:dyDescent="0.2">
      <c r="A256" s="7" t="s">
        <v>37</v>
      </c>
      <c r="B256" s="6" t="s">
        <v>39</v>
      </c>
      <c r="C256" s="6" t="s">
        <v>44</v>
      </c>
      <c r="D256" s="17" t="s">
        <v>45</v>
      </c>
      <c r="E256" s="8">
        <v>456</v>
      </c>
      <c r="F256" s="8">
        <v>13</v>
      </c>
      <c r="G256" s="8">
        <v>36</v>
      </c>
      <c r="H256" s="6" t="s">
        <v>55</v>
      </c>
      <c r="I256" s="6">
        <v>99.55</v>
      </c>
      <c r="J256" s="6" t="str">
        <f>IF(tblProduction[[#This Row],[Downtime_Min]]&gt;Helper_Calculations!$B$4, "High", IF(tblProduction[[#This Row],[Downtime_Min]]&lt;Helper_Calculations!$B$3,"low","Medium"))</f>
        <v>Medium</v>
      </c>
      <c r="K256" s="42">
        <f>VLOOKUP(tblProduction[[#This Row],[Product_Type]],Defect_Table,4,FALSE)</f>
        <v>2.6075502200401161E-2</v>
      </c>
      <c r="L256" s="44">
        <f>VLOOKUP(tblProduction[[#This Row],[Line_ID]],Efficiency_Table,2,FALSE)</f>
        <v>83.481999999999985</v>
      </c>
    </row>
    <row r="257" spans="1:12" x14ac:dyDescent="0.2">
      <c r="A257" s="7" t="s">
        <v>37</v>
      </c>
      <c r="B257" s="6" t="s">
        <v>40</v>
      </c>
      <c r="C257" s="6" t="s">
        <v>42</v>
      </c>
      <c r="D257" s="17" t="s">
        <v>47</v>
      </c>
      <c r="E257" s="8">
        <v>309</v>
      </c>
      <c r="F257" s="8">
        <v>3</v>
      </c>
      <c r="G257" s="8">
        <v>53</v>
      </c>
      <c r="H257" s="6" t="s">
        <v>52</v>
      </c>
      <c r="I257" s="6">
        <v>95.12</v>
      </c>
      <c r="J257" s="6" t="str">
        <f>IF(tblProduction[[#This Row],[Downtime_Min]]&gt;Helper_Calculations!$B$4, "High", IF(tblProduction[[#This Row],[Downtime_Min]]&lt;Helper_Calculations!$B$3,"low","Medium"))</f>
        <v>High</v>
      </c>
      <c r="K257" s="42">
        <f>VLOOKUP(tblProduction[[#This Row],[Product_Type]],Defect_Table,4,FALSE)</f>
        <v>2.5486680327868851E-2</v>
      </c>
      <c r="L257" s="44">
        <f>VLOOKUP(tblProduction[[#This Row],[Line_ID]],Efficiency_Table,2,FALSE)</f>
        <v>84.103777777777793</v>
      </c>
    </row>
    <row r="258" spans="1:12" x14ac:dyDescent="0.2">
      <c r="A258" s="7" t="s">
        <v>37</v>
      </c>
      <c r="B258" s="6" t="s">
        <v>40</v>
      </c>
      <c r="C258" s="6" t="s">
        <v>43</v>
      </c>
      <c r="D258" s="17" t="s">
        <v>45</v>
      </c>
      <c r="E258" s="8">
        <v>200</v>
      </c>
      <c r="F258" s="8">
        <v>18</v>
      </c>
      <c r="G258" s="8">
        <v>39</v>
      </c>
      <c r="H258" s="6" t="s">
        <v>54</v>
      </c>
      <c r="I258" s="6">
        <v>88.24</v>
      </c>
      <c r="J258" s="6" t="str">
        <f>IF(tblProduction[[#This Row],[Downtime_Min]]&gt;Helper_Calculations!$B$4, "High", IF(tblProduction[[#This Row],[Downtime_Min]]&lt;Helper_Calculations!$B$3,"low","Medium"))</f>
        <v>Medium</v>
      </c>
      <c r="K258" s="42">
        <f>VLOOKUP(tblProduction[[#This Row],[Product_Type]],Defect_Table,4,FALSE)</f>
        <v>2.6075502200401161E-2</v>
      </c>
      <c r="L258" s="44">
        <f>VLOOKUP(tblProduction[[#This Row],[Line_ID]],Efficiency_Table,2,FALSE)</f>
        <v>84.346333333333348</v>
      </c>
    </row>
    <row r="259" spans="1:12" x14ac:dyDescent="0.2">
      <c r="A259" s="7" t="s">
        <v>37</v>
      </c>
      <c r="B259" s="6" t="s">
        <v>40</v>
      </c>
      <c r="C259" s="6" t="s">
        <v>44</v>
      </c>
      <c r="D259" s="17" t="s">
        <v>47</v>
      </c>
      <c r="E259" s="8">
        <v>336</v>
      </c>
      <c r="F259" s="8">
        <v>9</v>
      </c>
      <c r="G259" s="8">
        <v>51</v>
      </c>
      <c r="H259" s="6" t="s">
        <v>56</v>
      </c>
      <c r="I259" s="6">
        <v>93.63</v>
      </c>
      <c r="J259" s="6" t="str">
        <f>IF(tblProduction[[#This Row],[Downtime_Min]]&gt;Helper_Calculations!$B$4, "High", IF(tblProduction[[#This Row],[Downtime_Min]]&lt;Helper_Calculations!$B$3,"low","Medium"))</f>
        <v>High</v>
      </c>
      <c r="K259" s="42">
        <f>VLOOKUP(tblProduction[[#This Row],[Product_Type]],Defect_Table,4,FALSE)</f>
        <v>2.5486680327868851E-2</v>
      </c>
      <c r="L259" s="44">
        <f>VLOOKUP(tblProduction[[#This Row],[Line_ID]],Efficiency_Table,2,FALSE)</f>
        <v>83.481999999999985</v>
      </c>
    </row>
    <row r="260" spans="1:12" x14ac:dyDescent="0.2">
      <c r="A260" s="7" t="s">
        <v>37</v>
      </c>
      <c r="B260" s="6" t="s">
        <v>41</v>
      </c>
      <c r="C260" s="6" t="s">
        <v>42</v>
      </c>
      <c r="D260" s="17" t="s">
        <v>47</v>
      </c>
      <c r="E260" s="8">
        <v>353</v>
      </c>
      <c r="F260" s="8">
        <v>8</v>
      </c>
      <c r="G260" s="8">
        <v>34</v>
      </c>
      <c r="H260" s="6" t="s">
        <v>53</v>
      </c>
      <c r="I260" s="6">
        <v>81.95</v>
      </c>
      <c r="J260" s="6" t="str">
        <f>IF(tblProduction[[#This Row],[Downtime_Min]]&gt;Helper_Calculations!$B$4, "High", IF(tblProduction[[#This Row],[Downtime_Min]]&lt;Helper_Calculations!$B$3,"low","Medium"))</f>
        <v>Medium</v>
      </c>
      <c r="K260" s="42">
        <f>VLOOKUP(tblProduction[[#This Row],[Product_Type]],Defect_Table,4,FALSE)</f>
        <v>2.5486680327868851E-2</v>
      </c>
      <c r="L260" s="44">
        <f>VLOOKUP(tblProduction[[#This Row],[Line_ID]],Efficiency_Table,2,FALSE)</f>
        <v>84.103777777777793</v>
      </c>
    </row>
    <row r="261" spans="1:12" x14ac:dyDescent="0.2">
      <c r="A261" s="7" t="s">
        <v>37</v>
      </c>
      <c r="B261" s="6" t="s">
        <v>41</v>
      </c>
      <c r="C261" s="6" t="s">
        <v>43</v>
      </c>
      <c r="D261" s="17" t="s">
        <v>45</v>
      </c>
      <c r="E261" s="8">
        <v>224</v>
      </c>
      <c r="F261" s="8">
        <v>10</v>
      </c>
      <c r="G261" s="8">
        <v>37</v>
      </c>
      <c r="H261" s="6" t="s">
        <v>52</v>
      </c>
      <c r="I261" s="6">
        <v>80.39</v>
      </c>
      <c r="J261" s="6" t="str">
        <f>IF(tblProduction[[#This Row],[Downtime_Min]]&gt;Helper_Calculations!$B$4, "High", IF(tblProduction[[#This Row],[Downtime_Min]]&lt;Helper_Calculations!$B$3,"low","Medium"))</f>
        <v>Medium</v>
      </c>
      <c r="K261" s="42">
        <f>VLOOKUP(tblProduction[[#This Row],[Product_Type]],Defect_Table,4,FALSE)</f>
        <v>2.6075502200401161E-2</v>
      </c>
      <c r="L261" s="44">
        <f>VLOOKUP(tblProduction[[#This Row],[Line_ID]],Efficiency_Table,2,FALSE)</f>
        <v>84.346333333333348</v>
      </c>
    </row>
    <row r="262" spans="1:12" x14ac:dyDescent="0.2">
      <c r="A262" s="7" t="s">
        <v>37</v>
      </c>
      <c r="B262" s="6" t="s">
        <v>41</v>
      </c>
      <c r="C262" s="6" t="s">
        <v>44</v>
      </c>
      <c r="D262" s="17" t="s">
        <v>47</v>
      </c>
      <c r="E262" s="8">
        <v>409</v>
      </c>
      <c r="F262" s="8">
        <v>1</v>
      </c>
      <c r="G262" s="8">
        <v>26</v>
      </c>
      <c r="H262" s="6" t="s">
        <v>54</v>
      </c>
      <c r="I262" s="6">
        <v>83.57</v>
      </c>
      <c r="J262" s="6" t="str">
        <f>IF(tblProduction[[#This Row],[Downtime_Min]]&gt;Helper_Calculations!$B$4, "High", IF(tblProduction[[#This Row],[Downtime_Min]]&lt;Helper_Calculations!$B$3,"low","Medium"))</f>
        <v>Medium</v>
      </c>
      <c r="K262" s="42">
        <f>VLOOKUP(tblProduction[[#This Row],[Product_Type]],Defect_Table,4,FALSE)</f>
        <v>2.5486680327868851E-2</v>
      </c>
      <c r="L262" s="44">
        <f>VLOOKUP(tblProduction[[#This Row],[Line_ID]],Efficiency_Table,2,FALSE)</f>
        <v>83.481999999999985</v>
      </c>
    </row>
    <row r="263" spans="1:12" x14ac:dyDescent="0.2">
      <c r="A263" s="7" t="s">
        <v>38</v>
      </c>
      <c r="B263" s="6" t="s">
        <v>39</v>
      </c>
      <c r="C263" s="6" t="s">
        <v>42</v>
      </c>
      <c r="D263" s="17" t="s">
        <v>47</v>
      </c>
      <c r="E263" s="8">
        <v>450</v>
      </c>
      <c r="F263" s="8">
        <v>18</v>
      </c>
      <c r="G263" s="8">
        <v>53</v>
      </c>
      <c r="H263" s="6" t="s">
        <v>53</v>
      </c>
      <c r="I263" s="6">
        <v>75.290000000000006</v>
      </c>
      <c r="J263" s="6" t="str">
        <f>IF(tblProduction[[#This Row],[Downtime_Min]]&gt;Helper_Calculations!$B$4, "High", IF(tblProduction[[#This Row],[Downtime_Min]]&lt;Helper_Calculations!$B$3,"low","Medium"))</f>
        <v>High</v>
      </c>
      <c r="K263" s="42">
        <f>VLOOKUP(tblProduction[[#This Row],[Product_Type]],Defect_Table,4,FALSE)</f>
        <v>2.5486680327868851E-2</v>
      </c>
      <c r="L263" s="44">
        <f>VLOOKUP(tblProduction[[#This Row],[Line_ID]],Efficiency_Table,2,FALSE)</f>
        <v>84.103777777777793</v>
      </c>
    </row>
    <row r="264" spans="1:12" x14ac:dyDescent="0.2">
      <c r="A264" s="7" t="s">
        <v>38</v>
      </c>
      <c r="B264" s="6" t="s">
        <v>39</v>
      </c>
      <c r="C264" s="6" t="s">
        <v>43</v>
      </c>
      <c r="D264" s="17" t="s">
        <v>45</v>
      </c>
      <c r="E264" s="8">
        <v>379</v>
      </c>
      <c r="F264" s="8">
        <v>5</v>
      </c>
      <c r="G264" s="8">
        <v>52</v>
      </c>
      <c r="H264" s="6" t="s">
        <v>54</v>
      </c>
      <c r="I264" s="6">
        <v>97.45</v>
      </c>
      <c r="J264" s="6" t="str">
        <f>IF(tblProduction[[#This Row],[Downtime_Min]]&gt;Helper_Calculations!$B$4, "High", IF(tblProduction[[#This Row],[Downtime_Min]]&lt;Helper_Calculations!$B$3,"low","Medium"))</f>
        <v>High</v>
      </c>
      <c r="K264" s="42">
        <f>VLOOKUP(tblProduction[[#This Row],[Product_Type]],Defect_Table,4,FALSE)</f>
        <v>2.6075502200401161E-2</v>
      </c>
      <c r="L264" s="44">
        <f>VLOOKUP(tblProduction[[#This Row],[Line_ID]],Efficiency_Table,2,FALSE)</f>
        <v>84.346333333333348</v>
      </c>
    </row>
    <row r="265" spans="1:12" x14ac:dyDescent="0.2">
      <c r="A265" s="7" t="s">
        <v>38</v>
      </c>
      <c r="B265" s="6" t="s">
        <v>39</v>
      </c>
      <c r="C265" s="6" t="s">
        <v>44</v>
      </c>
      <c r="D265" s="17" t="s">
        <v>47</v>
      </c>
      <c r="E265" s="8">
        <v>376</v>
      </c>
      <c r="F265" s="8">
        <v>10</v>
      </c>
      <c r="G265" s="8">
        <v>21</v>
      </c>
      <c r="H265" s="6" t="s">
        <v>56</v>
      </c>
      <c r="I265" s="6">
        <v>76.599999999999994</v>
      </c>
      <c r="J265" s="6" t="str">
        <f>IF(tblProduction[[#This Row],[Downtime_Min]]&gt;Helper_Calculations!$B$4, "High", IF(tblProduction[[#This Row],[Downtime_Min]]&lt;Helper_Calculations!$B$3,"low","Medium"))</f>
        <v>Medium</v>
      </c>
      <c r="K265" s="42">
        <f>VLOOKUP(tblProduction[[#This Row],[Product_Type]],Defect_Table,4,FALSE)</f>
        <v>2.5486680327868851E-2</v>
      </c>
      <c r="L265" s="44">
        <f>VLOOKUP(tblProduction[[#This Row],[Line_ID]],Efficiency_Table,2,FALSE)</f>
        <v>83.481999999999985</v>
      </c>
    </row>
    <row r="266" spans="1:12" x14ac:dyDescent="0.2">
      <c r="A266" s="7" t="s">
        <v>38</v>
      </c>
      <c r="B266" s="6" t="s">
        <v>40</v>
      </c>
      <c r="C266" s="6" t="s">
        <v>42</v>
      </c>
      <c r="D266" s="17" t="s">
        <v>46</v>
      </c>
      <c r="E266" s="8">
        <v>248</v>
      </c>
      <c r="F266" s="8">
        <v>6</v>
      </c>
      <c r="G266" s="8">
        <v>16</v>
      </c>
      <c r="H266" s="6" t="s">
        <v>49</v>
      </c>
      <c r="I266" s="6">
        <v>98.83</v>
      </c>
      <c r="J266" s="6" t="str">
        <f>IF(tblProduction[[#This Row],[Downtime_Min]]&gt;Helper_Calculations!$B$4, "High", IF(tblProduction[[#This Row],[Downtime_Min]]&lt;Helper_Calculations!$B$3,"low","Medium"))</f>
        <v>low</v>
      </c>
      <c r="K266" s="42">
        <f>VLOOKUP(tblProduction[[#This Row],[Product_Type]],Defect_Table,4,FALSE)</f>
        <v>2.230142566191446E-2</v>
      </c>
      <c r="L266" s="44">
        <f>VLOOKUP(tblProduction[[#This Row],[Line_ID]],Efficiency_Table,2,FALSE)</f>
        <v>84.103777777777793</v>
      </c>
    </row>
    <row r="267" spans="1:12" x14ac:dyDescent="0.2">
      <c r="A267" s="7" t="s">
        <v>38</v>
      </c>
      <c r="B267" s="6" t="s">
        <v>40</v>
      </c>
      <c r="C267" s="6" t="s">
        <v>43</v>
      </c>
      <c r="D267" s="17" t="s">
        <v>46</v>
      </c>
      <c r="E267" s="8">
        <v>376</v>
      </c>
      <c r="F267" s="8">
        <v>19</v>
      </c>
      <c r="G267" s="8">
        <v>53</v>
      </c>
      <c r="H267" s="6" t="s">
        <v>55</v>
      </c>
      <c r="I267" s="6">
        <v>95.82</v>
      </c>
      <c r="J267" s="6" t="str">
        <f>IF(tblProduction[[#This Row],[Downtime_Min]]&gt;Helper_Calculations!$B$4, "High", IF(tblProduction[[#This Row],[Downtime_Min]]&lt;Helper_Calculations!$B$3,"low","Medium"))</f>
        <v>High</v>
      </c>
      <c r="K267" s="42">
        <f>VLOOKUP(tblProduction[[#This Row],[Product_Type]],Defect_Table,4,FALSE)</f>
        <v>2.230142566191446E-2</v>
      </c>
      <c r="L267" s="44">
        <f>VLOOKUP(tblProduction[[#This Row],[Line_ID]],Efficiency_Table,2,FALSE)</f>
        <v>84.346333333333348</v>
      </c>
    </row>
    <row r="268" spans="1:12" x14ac:dyDescent="0.2">
      <c r="A268" s="7" t="s">
        <v>38</v>
      </c>
      <c r="B268" s="6" t="s">
        <v>40</v>
      </c>
      <c r="C268" s="6" t="s">
        <v>44</v>
      </c>
      <c r="D268" s="17" t="s">
        <v>47</v>
      </c>
      <c r="E268" s="8">
        <v>262</v>
      </c>
      <c r="F268" s="8">
        <v>7</v>
      </c>
      <c r="G268" s="8">
        <v>48</v>
      </c>
      <c r="H268" s="6" t="s">
        <v>55</v>
      </c>
      <c r="I268" s="6">
        <v>78.989999999999995</v>
      </c>
      <c r="J268" s="6" t="str">
        <f>IF(tblProduction[[#This Row],[Downtime_Min]]&gt;Helper_Calculations!$B$4, "High", IF(tblProduction[[#This Row],[Downtime_Min]]&lt;Helper_Calculations!$B$3,"low","Medium"))</f>
        <v>High</v>
      </c>
      <c r="K268" s="42">
        <f>VLOOKUP(tblProduction[[#This Row],[Product_Type]],Defect_Table,4,FALSE)</f>
        <v>2.5486680327868851E-2</v>
      </c>
      <c r="L268" s="44">
        <f>VLOOKUP(tblProduction[[#This Row],[Line_ID]],Efficiency_Table,2,FALSE)</f>
        <v>83.481999999999985</v>
      </c>
    </row>
    <row r="269" spans="1:12" x14ac:dyDescent="0.2">
      <c r="A269" s="7" t="s">
        <v>38</v>
      </c>
      <c r="B269" s="6" t="s">
        <v>41</v>
      </c>
      <c r="C269" s="6" t="s">
        <v>42</v>
      </c>
      <c r="D269" s="17" t="s">
        <v>46</v>
      </c>
      <c r="E269" s="8">
        <v>423</v>
      </c>
      <c r="F269" s="8">
        <v>12</v>
      </c>
      <c r="G269" s="8">
        <v>29</v>
      </c>
      <c r="H269" s="6" t="s">
        <v>50</v>
      </c>
      <c r="I269" s="6">
        <v>92.5</v>
      </c>
      <c r="J269" s="6" t="str">
        <f>IF(tblProduction[[#This Row],[Downtime_Min]]&gt;Helper_Calculations!$B$4, "High", IF(tblProduction[[#This Row],[Downtime_Min]]&lt;Helper_Calculations!$B$3,"low","Medium"))</f>
        <v>Medium</v>
      </c>
      <c r="K269" s="42">
        <f>VLOOKUP(tblProduction[[#This Row],[Product_Type]],Defect_Table,4,FALSE)</f>
        <v>2.230142566191446E-2</v>
      </c>
      <c r="L269" s="44">
        <f>VLOOKUP(tblProduction[[#This Row],[Line_ID]],Efficiency_Table,2,FALSE)</f>
        <v>84.103777777777793</v>
      </c>
    </row>
    <row r="270" spans="1:12" x14ac:dyDescent="0.2">
      <c r="A270" s="7" t="s">
        <v>38</v>
      </c>
      <c r="B270" s="6" t="s">
        <v>41</v>
      </c>
      <c r="C270" s="6" t="s">
        <v>43</v>
      </c>
      <c r="D270" s="17" t="s">
        <v>47</v>
      </c>
      <c r="E270" s="8">
        <v>410</v>
      </c>
      <c r="F270" s="8">
        <v>16</v>
      </c>
      <c r="G270" s="8">
        <v>44</v>
      </c>
      <c r="H270" s="6" t="s">
        <v>57</v>
      </c>
      <c r="I270" s="6">
        <v>81.33</v>
      </c>
      <c r="J270" s="6" t="str">
        <f>IF(tblProduction[[#This Row],[Downtime_Min]]&gt;Helper_Calculations!$B$4, "High", IF(tblProduction[[#This Row],[Downtime_Min]]&lt;Helper_Calculations!$B$3,"low","Medium"))</f>
        <v>Medium</v>
      </c>
      <c r="K270" s="42">
        <f>VLOOKUP(tblProduction[[#This Row],[Product_Type]],Defect_Table,4,FALSE)</f>
        <v>2.5486680327868851E-2</v>
      </c>
      <c r="L270" s="44">
        <f>VLOOKUP(tblProduction[[#This Row],[Line_ID]],Efficiency_Table,2,FALSE)</f>
        <v>84.346333333333348</v>
      </c>
    </row>
    <row r="271" spans="1:12" x14ac:dyDescent="0.2">
      <c r="A271" s="7" t="s">
        <v>38</v>
      </c>
      <c r="B271" s="6" t="s">
        <v>41</v>
      </c>
      <c r="C271" s="6" t="s">
        <v>44</v>
      </c>
      <c r="D271" s="17" t="s">
        <v>45</v>
      </c>
      <c r="E271" s="8">
        <v>343</v>
      </c>
      <c r="F271" s="8">
        <v>7</v>
      </c>
      <c r="G271" s="8">
        <v>18</v>
      </c>
      <c r="H271" s="6" t="s">
        <v>56</v>
      </c>
      <c r="I271" s="6">
        <v>71.97</v>
      </c>
      <c r="J271" s="6" t="str">
        <f>IF(tblProduction[[#This Row],[Downtime_Min]]&gt;Helper_Calculations!$B$4, "High", IF(tblProduction[[#This Row],[Downtime_Min]]&lt;Helper_Calculations!$B$3,"low","Medium"))</f>
        <v>Medium</v>
      </c>
      <c r="K271" s="42">
        <f>VLOOKUP(tblProduction[[#This Row],[Product_Type]],Defect_Table,4,FALSE)</f>
        <v>2.6075502200401161E-2</v>
      </c>
      <c r="L271" s="44">
        <f>VLOOKUP(tblProduction[[#This Row],[Line_ID]],Efficiency_Table,2,FALSE)</f>
        <v>83.481999999999985</v>
      </c>
    </row>
  </sheetData>
  <conditionalFormatting sqref="J1:J1048576">
    <cfRule type="containsText" dxfId="2" priority="1" operator="containsText" text="Medium">
      <formula>NOT(ISERROR(SEARCH("Medium",J1)))</formula>
    </cfRule>
    <cfRule type="containsText" dxfId="1" priority="2" operator="containsText" text="High">
      <formula>NOT(ISERROR(SEARCH("High",J1)))</formula>
    </cfRule>
    <cfRule type="containsText" dxfId="0" priority="3" operator="containsText" text="Low">
      <formula>NOT(ISERROR(SEARCH("Low",J1)))</formula>
    </cfRule>
  </conditionalFormatting>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CEAF2-53F9-864F-AB20-4D58A1C170CE}">
  <dimension ref="A1:H82"/>
  <sheetViews>
    <sheetView showGridLines="0" topLeftCell="A59" zoomScale="101" workbookViewId="0">
      <selection sqref="A1:G1"/>
    </sheetView>
  </sheetViews>
  <sheetFormatPr baseColWidth="10" defaultRowHeight="15" x14ac:dyDescent="0.2"/>
  <cols>
    <col min="1" max="1" width="12.1640625" bestFit="1" customWidth="1"/>
    <col min="2" max="2" width="19" bestFit="1" customWidth="1"/>
    <col min="3" max="3" width="5.5" customWidth="1"/>
    <col min="5" max="5" width="13.33203125" bestFit="1" customWidth="1"/>
  </cols>
  <sheetData>
    <row r="1" spans="1:8" ht="23" x14ac:dyDescent="0.25">
      <c r="A1" s="98" t="s">
        <v>128</v>
      </c>
      <c r="B1" s="98"/>
      <c r="C1" s="98"/>
      <c r="D1" s="98"/>
      <c r="E1" s="98"/>
      <c r="F1" s="98"/>
      <c r="G1" s="98"/>
    </row>
    <row r="2" spans="1:8" ht="23" x14ac:dyDescent="0.25">
      <c r="A2" s="82"/>
      <c r="B2" s="82"/>
      <c r="C2" s="82"/>
      <c r="D2" s="82"/>
      <c r="E2" s="82"/>
      <c r="F2" s="82"/>
      <c r="G2" s="82"/>
    </row>
    <row r="3" spans="1:8" x14ac:dyDescent="0.2">
      <c r="A3" s="11" t="s">
        <v>7</v>
      </c>
      <c r="B3" s="12" t="s">
        <v>88</v>
      </c>
      <c r="C3" s="23"/>
      <c r="D3" s="15" t="s">
        <v>125</v>
      </c>
      <c r="E3" s="15" t="s">
        <v>67</v>
      </c>
      <c r="F3" s="15" t="s">
        <v>126</v>
      </c>
      <c r="G3" s="15" t="s">
        <v>127</v>
      </c>
    </row>
    <row r="4" spans="1:8" x14ac:dyDescent="0.2">
      <c r="A4" s="13" t="s">
        <v>50</v>
      </c>
      <c r="B4" s="28">
        <v>324</v>
      </c>
      <c r="C4" s="23"/>
      <c r="D4" s="15" t="s">
        <v>53</v>
      </c>
      <c r="E4" s="12">
        <v>338</v>
      </c>
      <c r="F4" s="81">
        <v>0.14543889845094665</v>
      </c>
      <c r="G4" s="81">
        <f>F4</f>
        <v>0.14543889845094665</v>
      </c>
      <c r="H4" s="80"/>
    </row>
    <row r="5" spans="1:8" x14ac:dyDescent="0.2">
      <c r="A5" s="13" t="s">
        <v>49</v>
      </c>
      <c r="B5" s="28">
        <v>220</v>
      </c>
      <c r="C5" s="23"/>
      <c r="D5" s="15" t="s">
        <v>50</v>
      </c>
      <c r="E5" s="12">
        <v>324</v>
      </c>
      <c r="F5" s="81">
        <v>0.13941480206540446</v>
      </c>
      <c r="G5" s="81">
        <f>G4+F5</f>
        <v>0.28485370051635112</v>
      </c>
    </row>
    <row r="6" spans="1:8" x14ac:dyDescent="0.2">
      <c r="A6" s="13" t="s">
        <v>52</v>
      </c>
      <c r="B6" s="28">
        <v>224</v>
      </c>
      <c r="C6" s="23"/>
      <c r="D6" s="15" t="s">
        <v>57</v>
      </c>
      <c r="E6" s="12">
        <v>272</v>
      </c>
      <c r="F6" s="81">
        <v>0.11703958691910499</v>
      </c>
      <c r="G6" s="81">
        <f>G5+F6</f>
        <v>0.4018932874354561</v>
      </c>
    </row>
    <row r="7" spans="1:8" x14ac:dyDescent="0.2">
      <c r="A7" s="13" t="s">
        <v>48</v>
      </c>
      <c r="B7" s="28">
        <v>205</v>
      </c>
      <c r="C7" s="23"/>
      <c r="D7" s="15" t="s">
        <v>55</v>
      </c>
      <c r="E7" s="12">
        <v>241</v>
      </c>
      <c r="F7" s="81">
        <v>0.10370051635111877</v>
      </c>
      <c r="G7" s="81">
        <f t="shared" ref="G7:G13" si="0">G6+F7</f>
        <v>0.50559380378657481</v>
      </c>
    </row>
    <row r="8" spans="1:8" x14ac:dyDescent="0.2">
      <c r="A8" s="13" t="s">
        <v>55</v>
      </c>
      <c r="B8" s="28">
        <v>241</v>
      </c>
      <c r="C8" s="23"/>
      <c r="D8" s="15" t="s">
        <v>52</v>
      </c>
      <c r="E8" s="12">
        <v>224</v>
      </c>
      <c r="F8" s="81">
        <v>9.6385542168674704E-2</v>
      </c>
      <c r="G8" s="81">
        <f t="shared" si="0"/>
        <v>0.60197934595524949</v>
      </c>
    </row>
    <row r="9" spans="1:8" x14ac:dyDescent="0.2">
      <c r="A9" s="13" t="s">
        <v>56</v>
      </c>
      <c r="B9" s="28">
        <v>165</v>
      </c>
      <c r="C9" s="23"/>
      <c r="D9" s="15" t="s">
        <v>49</v>
      </c>
      <c r="E9" s="12">
        <v>220</v>
      </c>
      <c r="F9" s="81">
        <v>9.4664371772805511E-2</v>
      </c>
      <c r="G9" s="81">
        <f t="shared" si="0"/>
        <v>0.696643717728055</v>
      </c>
    </row>
    <row r="10" spans="1:8" x14ac:dyDescent="0.2">
      <c r="A10" s="13" t="s">
        <v>54</v>
      </c>
      <c r="B10" s="28">
        <v>216</v>
      </c>
      <c r="C10" s="23"/>
      <c r="D10" s="15" t="s">
        <v>54</v>
      </c>
      <c r="E10" s="12">
        <v>216</v>
      </c>
      <c r="F10" s="81">
        <v>9.2943201376936319E-2</v>
      </c>
      <c r="G10" s="81">
        <f t="shared" si="0"/>
        <v>0.78958691910499135</v>
      </c>
    </row>
    <row r="11" spans="1:8" x14ac:dyDescent="0.2">
      <c r="A11" s="13" t="s">
        <v>51</v>
      </c>
      <c r="B11" s="28">
        <v>119</v>
      </c>
      <c r="C11" s="23"/>
      <c r="D11" s="15" t="s">
        <v>48</v>
      </c>
      <c r="E11" s="12">
        <v>205</v>
      </c>
      <c r="F11" s="81">
        <v>8.8209982788296046E-2</v>
      </c>
      <c r="G11" s="81">
        <f t="shared" si="0"/>
        <v>0.87779690189328741</v>
      </c>
    </row>
    <row r="12" spans="1:8" x14ac:dyDescent="0.2">
      <c r="A12" s="13" t="s">
        <v>57</v>
      </c>
      <c r="B12" s="28">
        <v>272</v>
      </c>
      <c r="C12" s="23"/>
      <c r="D12" s="15" t="s">
        <v>56</v>
      </c>
      <c r="E12" s="12">
        <v>165</v>
      </c>
      <c r="F12" s="81">
        <v>7.0998278829604133E-2</v>
      </c>
      <c r="G12" s="81">
        <f t="shared" si="0"/>
        <v>0.9487951807228916</v>
      </c>
    </row>
    <row r="13" spans="1:8" x14ac:dyDescent="0.2">
      <c r="A13" s="13" t="s">
        <v>53</v>
      </c>
      <c r="B13" s="28">
        <v>338</v>
      </c>
      <c r="C13" s="23"/>
      <c r="D13" s="15" t="s">
        <v>51</v>
      </c>
      <c r="E13" s="12">
        <v>119</v>
      </c>
      <c r="F13" s="81">
        <v>5.1204819277108432E-2</v>
      </c>
      <c r="G13" s="81">
        <f t="shared" si="0"/>
        <v>1</v>
      </c>
    </row>
    <row r="14" spans="1:8" x14ac:dyDescent="0.2">
      <c r="A14" s="13" t="s">
        <v>61</v>
      </c>
      <c r="B14" s="28">
        <v>2324</v>
      </c>
      <c r="C14" s="23"/>
      <c r="D14" s="15" t="s">
        <v>92</v>
      </c>
      <c r="E14" s="15">
        <v>2324</v>
      </c>
      <c r="F14" s="12"/>
      <c r="G14" s="12"/>
    </row>
    <row r="15" spans="1:8" x14ac:dyDescent="0.2">
      <c r="A15" s="23"/>
      <c r="B15" s="23"/>
      <c r="C15" s="23"/>
      <c r="D15" s="23"/>
      <c r="E15" s="23"/>
      <c r="F15" s="23"/>
      <c r="G15" s="23"/>
    </row>
    <row r="16" spans="1:8" x14ac:dyDescent="0.2">
      <c r="A16" s="23"/>
      <c r="B16" s="23"/>
      <c r="C16" s="23"/>
      <c r="D16" s="23"/>
      <c r="E16" s="23"/>
      <c r="F16" s="23"/>
      <c r="G16" s="23"/>
    </row>
    <row r="17" spans="1:7" x14ac:dyDescent="0.2">
      <c r="A17" s="23"/>
      <c r="B17" s="23"/>
      <c r="C17" s="23"/>
      <c r="D17" s="23"/>
      <c r="E17" s="23"/>
      <c r="F17" s="23"/>
      <c r="G17" s="23"/>
    </row>
    <row r="18" spans="1:7" x14ac:dyDescent="0.2">
      <c r="A18" s="23"/>
      <c r="B18" s="23"/>
      <c r="C18" s="83"/>
      <c r="D18" s="23"/>
      <c r="E18" s="23"/>
      <c r="F18" s="23"/>
      <c r="G18" s="23"/>
    </row>
    <row r="19" spans="1:7" x14ac:dyDescent="0.2">
      <c r="A19" s="23"/>
      <c r="B19" s="23"/>
      <c r="C19" s="83"/>
      <c r="D19" s="23"/>
      <c r="E19" s="23"/>
      <c r="F19" s="23"/>
      <c r="G19" s="23"/>
    </row>
    <row r="20" spans="1:7" x14ac:dyDescent="0.2">
      <c r="A20" s="23"/>
      <c r="B20" s="23"/>
      <c r="C20" s="83"/>
      <c r="D20" s="23"/>
      <c r="E20" s="23"/>
      <c r="F20" s="23"/>
      <c r="G20" s="23"/>
    </row>
    <row r="21" spans="1:7" x14ac:dyDescent="0.2">
      <c r="A21" s="23"/>
      <c r="B21" s="23"/>
      <c r="C21" s="83"/>
      <c r="D21" s="23"/>
      <c r="E21" s="23"/>
      <c r="F21" s="23"/>
      <c r="G21" s="23"/>
    </row>
    <row r="22" spans="1:7" x14ac:dyDescent="0.2">
      <c r="A22" s="23"/>
      <c r="B22" s="23"/>
      <c r="C22" s="83"/>
      <c r="D22" s="23"/>
      <c r="E22" s="23"/>
      <c r="F22" s="23"/>
      <c r="G22" s="23"/>
    </row>
    <row r="23" spans="1:7" x14ac:dyDescent="0.2">
      <c r="A23" s="23"/>
      <c r="B23" s="23"/>
      <c r="C23" s="83"/>
      <c r="D23" s="23"/>
      <c r="E23" s="23"/>
      <c r="F23" s="23"/>
      <c r="G23" s="23"/>
    </row>
    <row r="24" spans="1:7" x14ac:dyDescent="0.2">
      <c r="A24" s="23"/>
      <c r="B24" s="23"/>
      <c r="C24" s="83"/>
      <c r="D24" s="23"/>
      <c r="E24" s="23"/>
      <c r="F24" s="23"/>
      <c r="G24" s="23"/>
    </row>
    <row r="25" spans="1:7" x14ac:dyDescent="0.2">
      <c r="A25" s="23"/>
      <c r="B25" s="23"/>
      <c r="C25" s="83"/>
      <c r="D25" s="23"/>
      <c r="E25" s="23"/>
      <c r="F25" s="23"/>
      <c r="G25" s="23"/>
    </row>
    <row r="26" spans="1:7" x14ac:dyDescent="0.2">
      <c r="A26" s="23"/>
      <c r="B26" s="23"/>
      <c r="C26" s="83"/>
      <c r="D26" s="23"/>
      <c r="E26" s="23"/>
      <c r="F26" s="23"/>
      <c r="G26" s="23"/>
    </row>
    <row r="27" spans="1:7" x14ac:dyDescent="0.2">
      <c r="A27" s="23"/>
      <c r="B27" s="23"/>
      <c r="C27" s="83"/>
      <c r="D27" s="23"/>
      <c r="E27" s="23"/>
      <c r="F27" s="23"/>
      <c r="G27" s="23"/>
    </row>
    <row r="28" spans="1:7" x14ac:dyDescent="0.2">
      <c r="A28" s="23"/>
      <c r="B28" s="23"/>
      <c r="C28" s="23"/>
      <c r="D28" s="23"/>
      <c r="E28" s="23"/>
      <c r="F28" s="23"/>
      <c r="G28" s="23"/>
    </row>
    <row r="29" spans="1:7" x14ac:dyDescent="0.2">
      <c r="A29" s="23"/>
      <c r="B29" s="23"/>
      <c r="C29" s="23"/>
      <c r="D29" s="23"/>
      <c r="E29" s="23"/>
      <c r="F29" s="23"/>
      <c r="G29" s="23"/>
    </row>
    <row r="30" spans="1:7" x14ac:dyDescent="0.2">
      <c r="A30" s="23"/>
      <c r="B30" s="23"/>
      <c r="C30" s="23"/>
      <c r="D30" s="23"/>
      <c r="E30" s="23"/>
      <c r="F30" s="23"/>
      <c r="G30" s="23"/>
    </row>
    <row r="31" spans="1:7" ht="27" customHeight="1" x14ac:dyDescent="0.2">
      <c r="A31" s="99" t="s">
        <v>129</v>
      </c>
      <c r="B31" s="99"/>
      <c r="C31" s="99"/>
      <c r="D31" s="99"/>
      <c r="E31" s="99"/>
      <c r="F31" s="99"/>
      <c r="G31" s="99"/>
    </row>
    <row r="32" spans="1:7" x14ac:dyDescent="0.2">
      <c r="A32" s="23"/>
      <c r="B32" s="23"/>
      <c r="C32" s="23"/>
      <c r="D32" s="23"/>
      <c r="E32" s="23"/>
      <c r="F32" s="23"/>
      <c r="G32" s="23"/>
    </row>
    <row r="33" spans="1:7" x14ac:dyDescent="0.2">
      <c r="A33" s="23"/>
      <c r="B33" s="23"/>
      <c r="C33" s="23"/>
      <c r="D33" s="23"/>
      <c r="E33" s="23"/>
      <c r="F33" s="23"/>
      <c r="G33" s="23"/>
    </row>
    <row r="34" spans="1:7" ht="16" x14ac:dyDescent="0.2">
      <c r="A34" s="11" t="s">
        <v>0</v>
      </c>
      <c r="B34" s="12" t="s">
        <v>76</v>
      </c>
      <c r="C34" s="23"/>
      <c r="D34" s="15" t="s">
        <v>0</v>
      </c>
      <c r="E34" s="15" t="s">
        <v>130</v>
      </c>
      <c r="F34" s="84" t="s">
        <v>126</v>
      </c>
      <c r="G34" s="15" t="s">
        <v>127</v>
      </c>
    </row>
    <row r="35" spans="1:7" x14ac:dyDescent="0.2">
      <c r="A35" s="13" t="s">
        <v>9</v>
      </c>
      <c r="B35" s="28">
        <v>343</v>
      </c>
      <c r="C35" s="23"/>
      <c r="D35" s="15" t="s">
        <v>26</v>
      </c>
      <c r="E35" s="12">
        <v>357</v>
      </c>
      <c r="F35" s="81">
        <f t="shared" ref="F35:F64" si="1">E35/$E$65</f>
        <v>4.2939619918210249E-2</v>
      </c>
      <c r="G35" s="81">
        <f>F35</f>
        <v>4.2939619918210249E-2</v>
      </c>
    </row>
    <row r="36" spans="1:7" x14ac:dyDescent="0.2">
      <c r="A36" s="13" t="s">
        <v>10</v>
      </c>
      <c r="B36" s="28">
        <v>197</v>
      </c>
      <c r="C36" s="23"/>
      <c r="D36" s="15" t="s">
        <v>25</v>
      </c>
      <c r="E36" s="12">
        <v>356</v>
      </c>
      <c r="F36" s="81">
        <f t="shared" si="1"/>
        <v>4.2819340870820302E-2</v>
      </c>
      <c r="G36" s="81">
        <f>G35+F36</f>
        <v>8.5758960789030558E-2</v>
      </c>
    </row>
    <row r="37" spans="1:7" x14ac:dyDescent="0.2">
      <c r="A37" s="13" t="s">
        <v>11</v>
      </c>
      <c r="B37" s="28">
        <v>243</v>
      </c>
      <c r="C37" s="23"/>
      <c r="D37" s="15" t="s">
        <v>37</v>
      </c>
      <c r="E37" s="12">
        <v>350</v>
      </c>
      <c r="F37" s="81">
        <f t="shared" si="1"/>
        <v>4.2097666586480634E-2</v>
      </c>
      <c r="G37" s="81">
        <f>G36+F37</f>
        <v>0.12785662737551118</v>
      </c>
    </row>
    <row r="38" spans="1:7" x14ac:dyDescent="0.2">
      <c r="A38" s="13" t="s">
        <v>12</v>
      </c>
      <c r="B38" s="28">
        <v>273</v>
      </c>
      <c r="C38" s="23"/>
      <c r="D38" s="15" t="s">
        <v>9</v>
      </c>
      <c r="E38" s="12">
        <v>343</v>
      </c>
      <c r="F38" s="81">
        <f t="shared" si="1"/>
        <v>4.1255713254751025E-2</v>
      </c>
      <c r="G38" s="81">
        <f t="shared" ref="G38:G64" si="2">G37+F38</f>
        <v>0.1691123406302622</v>
      </c>
    </row>
    <row r="39" spans="1:7" x14ac:dyDescent="0.2">
      <c r="A39" s="13" t="s">
        <v>13</v>
      </c>
      <c r="B39" s="28">
        <v>316</v>
      </c>
      <c r="C39" s="23"/>
      <c r="D39" s="15" t="s">
        <v>38</v>
      </c>
      <c r="E39" s="12">
        <v>334</v>
      </c>
      <c r="F39" s="81">
        <f t="shared" si="1"/>
        <v>4.0173201828241523E-2</v>
      </c>
      <c r="G39" s="81">
        <f t="shared" si="2"/>
        <v>0.20928554245850373</v>
      </c>
    </row>
    <row r="40" spans="1:7" x14ac:dyDescent="0.2">
      <c r="A40" s="13" t="s">
        <v>14</v>
      </c>
      <c r="B40" s="28">
        <v>268</v>
      </c>
      <c r="C40" s="23"/>
      <c r="D40" s="15" t="s">
        <v>13</v>
      </c>
      <c r="E40" s="12">
        <v>316</v>
      </c>
      <c r="F40" s="81">
        <f t="shared" si="1"/>
        <v>3.8008178975222517E-2</v>
      </c>
      <c r="G40" s="81">
        <f t="shared" si="2"/>
        <v>0.24729372143372624</v>
      </c>
    </row>
    <row r="41" spans="1:7" x14ac:dyDescent="0.2">
      <c r="A41" s="13" t="s">
        <v>15</v>
      </c>
      <c r="B41" s="28">
        <v>219</v>
      </c>
      <c r="C41" s="23"/>
      <c r="D41" s="15" t="s">
        <v>19</v>
      </c>
      <c r="E41" s="12">
        <v>312</v>
      </c>
      <c r="F41" s="81">
        <f t="shared" si="1"/>
        <v>3.7527062785662736E-2</v>
      </c>
      <c r="G41" s="81">
        <f t="shared" si="2"/>
        <v>0.284820784219389</v>
      </c>
    </row>
    <row r="42" spans="1:7" x14ac:dyDescent="0.2">
      <c r="A42" s="13" t="s">
        <v>16</v>
      </c>
      <c r="B42" s="28">
        <v>301</v>
      </c>
      <c r="C42" s="23"/>
      <c r="D42" s="15" t="s">
        <v>18</v>
      </c>
      <c r="E42" s="12">
        <v>309</v>
      </c>
      <c r="F42" s="81">
        <f t="shared" si="1"/>
        <v>3.7166225643492902E-2</v>
      </c>
      <c r="G42" s="81">
        <f t="shared" si="2"/>
        <v>0.32198700986288192</v>
      </c>
    </row>
    <row r="43" spans="1:7" x14ac:dyDescent="0.2">
      <c r="A43" s="13" t="s">
        <v>17</v>
      </c>
      <c r="B43" s="28">
        <v>269</v>
      </c>
      <c r="C43" s="23"/>
      <c r="D43" s="15" t="s">
        <v>23</v>
      </c>
      <c r="E43" s="12">
        <v>302</v>
      </c>
      <c r="F43" s="81">
        <f t="shared" si="1"/>
        <v>3.6324272311763293E-2</v>
      </c>
      <c r="G43" s="81">
        <f t="shared" si="2"/>
        <v>0.3583112821746452</v>
      </c>
    </row>
    <row r="44" spans="1:7" x14ac:dyDescent="0.2">
      <c r="A44" s="13" t="s">
        <v>18</v>
      </c>
      <c r="B44" s="28">
        <v>309</v>
      </c>
      <c r="C44" s="23"/>
      <c r="D44" s="15" t="s">
        <v>16</v>
      </c>
      <c r="E44" s="12">
        <v>301</v>
      </c>
      <c r="F44" s="81">
        <f t="shared" si="1"/>
        <v>3.6203993264373346E-2</v>
      </c>
      <c r="G44" s="81">
        <f t="shared" si="2"/>
        <v>0.39451527543901854</v>
      </c>
    </row>
    <row r="45" spans="1:7" x14ac:dyDescent="0.2">
      <c r="A45" s="13" t="s">
        <v>19</v>
      </c>
      <c r="B45" s="28">
        <v>312</v>
      </c>
      <c r="C45" s="23"/>
      <c r="D45" s="15" t="s">
        <v>35</v>
      </c>
      <c r="E45" s="12">
        <v>293</v>
      </c>
      <c r="F45" s="81">
        <f t="shared" si="1"/>
        <v>3.5241760885253791E-2</v>
      </c>
      <c r="G45" s="81">
        <f t="shared" si="2"/>
        <v>0.42975703632427231</v>
      </c>
    </row>
    <row r="46" spans="1:7" x14ac:dyDescent="0.2">
      <c r="A46" s="13" t="s">
        <v>20</v>
      </c>
      <c r="B46" s="28">
        <v>282</v>
      </c>
      <c r="C46" s="23"/>
      <c r="D46" s="15" t="s">
        <v>20</v>
      </c>
      <c r="E46" s="12">
        <v>282</v>
      </c>
      <c r="F46" s="81">
        <f t="shared" si="1"/>
        <v>3.3918691363964394E-2</v>
      </c>
      <c r="G46" s="81">
        <f t="shared" si="2"/>
        <v>0.46367572768823673</v>
      </c>
    </row>
    <row r="47" spans="1:7" x14ac:dyDescent="0.2">
      <c r="A47" s="13" t="s">
        <v>21</v>
      </c>
      <c r="B47" s="28">
        <v>225</v>
      </c>
      <c r="C47" s="23"/>
      <c r="D47" s="15" t="s">
        <v>28</v>
      </c>
      <c r="E47" s="12">
        <v>282</v>
      </c>
      <c r="F47" s="81">
        <f t="shared" si="1"/>
        <v>3.3918691363964394E-2</v>
      </c>
      <c r="G47" s="81">
        <f t="shared" si="2"/>
        <v>0.49759441905220114</v>
      </c>
    </row>
    <row r="48" spans="1:7" x14ac:dyDescent="0.2">
      <c r="A48" s="13" t="s">
        <v>22</v>
      </c>
      <c r="B48" s="28">
        <v>267</v>
      </c>
      <c r="C48" s="23"/>
      <c r="D48" s="15" t="s">
        <v>36</v>
      </c>
      <c r="E48" s="12">
        <v>276</v>
      </c>
      <c r="F48" s="81">
        <f t="shared" si="1"/>
        <v>3.3197017079624733E-2</v>
      </c>
      <c r="G48" s="81">
        <f t="shared" si="2"/>
        <v>0.53079143613182589</v>
      </c>
    </row>
    <row r="49" spans="1:7" x14ac:dyDescent="0.2">
      <c r="A49" s="13" t="s">
        <v>23</v>
      </c>
      <c r="B49" s="28">
        <v>302</v>
      </c>
      <c r="C49" s="23"/>
      <c r="D49" s="15" t="s">
        <v>32</v>
      </c>
      <c r="E49" s="12">
        <v>275</v>
      </c>
      <c r="F49" s="81">
        <f t="shared" si="1"/>
        <v>3.3076738032234786E-2</v>
      </c>
      <c r="G49" s="81">
        <f t="shared" si="2"/>
        <v>0.56386817416406065</v>
      </c>
    </row>
    <row r="50" spans="1:7" x14ac:dyDescent="0.2">
      <c r="A50" s="13" t="s">
        <v>24</v>
      </c>
      <c r="B50" s="28">
        <v>206</v>
      </c>
      <c r="C50" s="23"/>
      <c r="D50" s="15" t="s">
        <v>12</v>
      </c>
      <c r="E50" s="12">
        <v>273</v>
      </c>
      <c r="F50" s="81">
        <f t="shared" si="1"/>
        <v>3.2836179937454898E-2</v>
      </c>
      <c r="G50" s="81">
        <f t="shared" si="2"/>
        <v>0.59670435410151557</v>
      </c>
    </row>
    <row r="51" spans="1:7" x14ac:dyDescent="0.2">
      <c r="A51" s="13" t="s">
        <v>25</v>
      </c>
      <c r="B51" s="28">
        <v>356</v>
      </c>
      <c r="C51" s="23"/>
      <c r="D51" s="15" t="s">
        <v>17</v>
      </c>
      <c r="E51" s="12">
        <v>269</v>
      </c>
      <c r="F51" s="81">
        <f t="shared" si="1"/>
        <v>3.2355063747895117E-2</v>
      </c>
      <c r="G51" s="81">
        <f t="shared" si="2"/>
        <v>0.62905941784941066</v>
      </c>
    </row>
    <row r="52" spans="1:7" x14ac:dyDescent="0.2">
      <c r="A52" s="13" t="s">
        <v>26</v>
      </c>
      <c r="B52" s="28">
        <v>357</v>
      </c>
      <c r="C52" s="23"/>
      <c r="D52" s="15" t="s">
        <v>14</v>
      </c>
      <c r="E52" s="12">
        <v>268</v>
      </c>
      <c r="F52" s="81">
        <f t="shared" si="1"/>
        <v>3.223478470050517E-2</v>
      </c>
      <c r="G52" s="81">
        <f t="shared" si="2"/>
        <v>0.66129420254991578</v>
      </c>
    </row>
    <row r="53" spans="1:7" x14ac:dyDescent="0.2">
      <c r="A53" s="13" t="s">
        <v>27</v>
      </c>
      <c r="B53" s="28">
        <v>265</v>
      </c>
      <c r="C53" s="23"/>
      <c r="D53" s="15" t="s">
        <v>22</v>
      </c>
      <c r="E53" s="12">
        <v>267</v>
      </c>
      <c r="F53" s="81">
        <f t="shared" si="1"/>
        <v>3.211450565311523E-2</v>
      </c>
      <c r="G53" s="81">
        <f t="shared" si="2"/>
        <v>0.69340870820303102</v>
      </c>
    </row>
    <row r="54" spans="1:7" x14ac:dyDescent="0.2">
      <c r="A54" s="13" t="s">
        <v>28</v>
      </c>
      <c r="B54" s="28">
        <v>282</v>
      </c>
      <c r="C54" s="23"/>
      <c r="D54" s="15" t="s">
        <v>27</v>
      </c>
      <c r="E54" s="12">
        <v>265</v>
      </c>
      <c r="F54" s="81">
        <f t="shared" si="1"/>
        <v>3.1873947558335336E-2</v>
      </c>
      <c r="G54" s="81">
        <f t="shared" si="2"/>
        <v>0.7252826557613663</v>
      </c>
    </row>
    <row r="55" spans="1:7" x14ac:dyDescent="0.2">
      <c r="A55" s="13" t="s">
        <v>29</v>
      </c>
      <c r="B55" s="28">
        <v>229</v>
      </c>
      <c r="C55" s="23"/>
      <c r="D55" s="15" t="s">
        <v>30</v>
      </c>
      <c r="E55" s="12">
        <v>264</v>
      </c>
      <c r="F55" s="81">
        <f t="shared" si="1"/>
        <v>3.1753668510945396E-2</v>
      </c>
      <c r="G55" s="81">
        <f t="shared" si="2"/>
        <v>0.75703632427231171</v>
      </c>
    </row>
    <row r="56" spans="1:7" x14ac:dyDescent="0.2">
      <c r="A56" s="13" t="s">
        <v>30</v>
      </c>
      <c r="B56" s="28">
        <v>264</v>
      </c>
      <c r="C56" s="23"/>
      <c r="D56" s="15" t="s">
        <v>34</v>
      </c>
      <c r="E56" s="12">
        <v>263</v>
      </c>
      <c r="F56" s="81">
        <f t="shared" si="1"/>
        <v>3.1633389463555449E-2</v>
      </c>
      <c r="G56" s="81">
        <f t="shared" si="2"/>
        <v>0.78866971373586714</v>
      </c>
    </row>
    <row r="57" spans="1:7" x14ac:dyDescent="0.2">
      <c r="A57" s="13" t="s">
        <v>31</v>
      </c>
      <c r="B57" s="28">
        <v>204</v>
      </c>
      <c r="C57" s="23"/>
      <c r="D57" s="15" t="s">
        <v>11</v>
      </c>
      <c r="E57" s="12">
        <v>243</v>
      </c>
      <c r="F57" s="81">
        <f t="shared" si="1"/>
        <v>2.9227808515756556E-2</v>
      </c>
      <c r="G57" s="81">
        <f t="shared" si="2"/>
        <v>0.81789752225162371</v>
      </c>
    </row>
    <row r="58" spans="1:7" x14ac:dyDescent="0.2">
      <c r="A58" s="13" t="s">
        <v>32</v>
      </c>
      <c r="B58" s="28">
        <v>275</v>
      </c>
      <c r="C58" s="23"/>
      <c r="D58" s="15" t="s">
        <v>33</v>
      </c>
      <c r="E58" s="12">
        <v>234</v>
      </c>
      <c r="F58" s="81">
        <f t="shared" si="1"/>
        <v>2.8145297089247054E-2</v>
      </c>
      <c r="G58" s="81">
        <f t="shared" si="2"/>
        <v>0.84604281934087078</v>
      </c>
    </row>
    <row r="59" spans="1:7" x14ac:dyDescent="0.2">
      <c r="A59" s="13" t="s">
        <v>33</v>
      </c>
      <c r="B59" s="28">
        <v>234</v>
      </c>
      <c r="C59" s="23"/>
      <c r="D59" s="15" t="s">
        <v>29</v>
      </c>
      <c r="E59" s="12">
        <v>229</v>
      </c>
      <c r="F59" s="81">
        <f t="shared" si="1"/>
        <v>2.7543901852297329E-2</v>
      </c>
      <c r="G59" s="81">
        <f t="shared" si="2"/>
        <v>0.87358672119316816</v>
      </c>
    </row>
    <row r="60" spans="1:7" x14ac:dyDescent="0.2">
      <c r="A60" s="13" t="s">
        <v>34</v>
      </c>
      <c r="B60" s="28">
        <v>263</v>
      </c>
      <c r="C60" s="23"/>
      <c r="D60" s="15" t="s">
        <v>21</v>
      </c>
      <c r="E60" s="12">
        <v>225</v>
      </c>
      <c r="F60" s="81">
        <f t="shared" si="1"/>
        <v>2.7062785662737551E-2</v>
      </c>
      <c r="G60" s="81">
        <f t="shared" si="2"/>
        <v>0.90064950685590572</v>
      </c>
    </row>
    <row r="61" spans="1:7" x14ac:dyDescent="0.2">
      <c r="A61" s="13" t="s">
        <v>35</v>
      </c>
      <c r="B61" s="28">
        <v>293</v>
      </c>
      <c r="C61" s="23"/>
      <c r="D61" s="15" t="s">
        <v>15</v>
      </c>
      <c r="E61" s="12">
        <v>219</v>
      </c>
      <c r="F61" s="81">
        <f t="shared" si="1"/>
        <v>2.6341111378397883E-2</v>
      </c>
      <c r="G61" s="81">
        <f t="shared" si="2"/>
        <v>0.92699061823430362</v>
      </c>
    </row>
    <row r="62" spans="1:7" x14ac:dyDescent="0.2">
      <c r="A62" s="13" t="s">
        <v>36</v>
      </c>
      <c r="B62" s="28">
        <v>276</v>
      </c>
      <c r="C62" s="23"/>
      <c r="D62" s="15" t="s">
        <v>24</v>
      </c>
      <c r="E62" s="12">
        <v>206</v>
      </c>
      <c r="F62" s="81">
        <f t="shared" si="1"/>
        <v>2.4777483762328602E-2</v>
      </c>
      <c r="G62" s="81">
        <f t="shared" si="2"/>
        <v>0.9517681019966322</v>
      </c>
    </row>
    <row r="63" spans="1:7" x14ac:dyDescent="0.2">
      <c r="A63" s="13" t="s">
        <v>37</v>
      </c>
      <c r="B63" s="28">
        <v>350</v>
      </c>
      <c r="C63" s="23"/>
      <c r="D63" s="15" t="s">
        <v>31</v>
      </c>
      <c r="E63" s="12">
        <v>204</v>
      </c>
      <c r="F63" s="81">
        <f t="shared" si="1"/>
        <v>2.4536925667548712E-2</v>
      </c>
      <c r="G63" s="81">
        <f t="shared" si="2"/>
        <v>0.97630502766418092</v>
      </c>
    </row>
    <row r="64" spans="1:7" x14ac:dyDescent="0.2">
      <c r="A64" s="13" t="s">
        <v>38</v>
      </c>
      <c r="B64" s="28">
        <v>334</v>
      </c>
      <c r="C64" s="23"/>
      <c r="D64" s="15" t="s">
        <v>10</v>
      </c>
      <c r="E64" s="12">
        <v>197</v>
      </c>
      <c r="F64" s="81">
        <f t="shared" si="1"/>
        <v>2.36949723358191E-2</v>
      </c>
      <c r="G64" s="81">
        <f t="shared" si="2"/>
        <v>1</v>
      </c>
    </row>
    <row r="65" spans="1:7" x14ac:dyDescent="0.2">
      <c r="A65" s="13" t="s">
        <v>61</v>
      </c>
      <c r="B65" s="28">
        <v>8314</v>
      </c>
      <c r="C65" s="23"/>
      <c r="D65" s="15" t="s">
        <v>92</v>
      </c>
      <c r="E65" s="15">
        <f>SUM(E35:E64)</f>
        <v>8314</v>
      </c>
      <c r="F65" s="81"/>
      <c r="G65" s="12"/>
    </row>
    <row r="66" spans="1:7" x14ac:dyDescent="0.2">
      <c r="A66" s="23"/>
      <c r="B66" s="23"/>
      <c r="C66" s="23"/>
      <c r="D66" s="23"/>
      <c r="E66" s="23"/>
      <c r="F66" s="23"/>
      <c r="G66" s="23"/>
    </row>
    <row r="67" spans="1:7" x14ac:dyDescent="0.2">
      <c r="A67" s="23"/>
      <c r="B67" s="23"/>
      <c r="C67" s="23"/>
      <c r="D67" s="23"/>
      <c r="E67" s="23"/>
      <c r="F67" s="23"/>
      <c r="G67" s="23"/>
    </row>
    <row r="68" spans="1:7" x14ac:dyDescent="0.2">
      <c r="A68" s="23"/>
      <c r="B68" s="23"/>
      <c r="C68" s="23"/>
      <c r="D68" s="23"/>
      <c r="E68" s="23"/>
      <c r="F68" s="23"/>
      <c r="G68" s="23"/>
    </row>
    <row r="69" spans="1:7" x14ac:dyDescent="0.2">
      <c r="A69" s="23"/>
      <c r="B69" s="23"/>
      <c r="C69" s="23"/>
      <c r="D69" s="23"/>
      <c r="E69" s="23"/>
      <c r="F69" s="23"/>
      <c r="G69" s="23"/>
    </row>
    <row r="70" spans="1:7" x14ac:dyDescent="0.2">
      <c r="A70" s="23"/>
      <c r="B70" s="23"/>
      <c r="C70" s="23"/>
      <c r="D70" s="23"/>
      <c r="E70" s="23"/>
      <c r="F70" s="23"/>
      <c r="G70" s="23"/>
    </row>
    <row r="71" spans="1:7" x14ac:dyDescent="0.2">
      <c r="A71" s="23"/>
      <c r="B71" s="23"/>
      <c r="C71" s="23"/>
      <c r="D71" s="23"/>
      <c r="E71" s="23"/>
      <c r="F71" s="23"/>
      <c r="G71" s="23"/>
    </row>
    <row r="72" spans="1:7" x14ac:dyDescent="0.2">
      <c r="A72" s="23"/>
      <c r="B72" s="23"/>
      <c r="C72" s="23"/>
      <c r="D72" s="23"/>
      <c r="E72" s="23"/>
      <c r="F72" s="23"/>
      <c r="G72" s="23"/>
    </row>
    <row r="73" spans="1:7" x14ac:dyDescent="0.2">
      <c r="A73" s="23"/>
      <c r="B73" s="23"/>
      <c r="C73" s="23"/>
      <c r="D73" s="23"/>
      <c r="E73" s="23"/>
      <c r="F73" s="23"/>
      <c r="G73" s="23"/>
    </row>
    <row r="74" spans="1:7" x14ac:dyDescent="0.2">
      <c r="A74" s="23"/>
      <c r="B74" s="23"/>
      <c r="C74" s="23"/>
      <c r="D74" s="23"/>
      <c r="E74" s="23"/>
      <c r="F74" s="23"/>
      <c r="G74" s="23"/>
    </row>
    <row r="75" spans="1:7" x14ac:dyDescent="0.2">
      <c r="A75" s="23"/>
      <c r="B75" s="23"/>
      <c r="C75" s="23"/>
      <c r="D75" s="23"/>
      <c r="E75" s="23"/>
      <c r="F75" s="23"/>
      <c r="G75" s="23"/>
    </row>
    <row r="76" spans="1:7" x14ac:dyDescent="0.2">
      <c r="A76" s="23"/>
      <c r="B76" s="23"/>
      <c r="C76" s="23"/>
      <c r="D76" s="23"/>
      <c r="E76" s="23"/>
      <c r="F76" s="23"/>
      <c r="G76" s="23"/>
    </row>
    <row r="77" spans="1:7" x14ac:dyDescent="0.2">
      <c r="A77" s="23"/>
      <c r="B77" s="23"/>
      <c r="C77" s="23"/>
      <c r="D77" s="23"/>
      <c r="E77" s="23"/>
      <c r="F77" s="23"/>
      <c r="G77" s="23"/>
    </row>
    <row r="78" spans="1:7" x14ac:dyDescent="0.2">
      <c r="A78" s="23"/>
      <c r="B78" s="23"/>
      <c r="C78" s="23"/>
      <c r="D78" s="23"/>
      <c r="E78" s="23"/>
      <c r="F78" s="23"/>
      <c r="G78" s="23"/>
    </row>
    <row r="79" spans="1:7" x14ac:dyDescent="0.2">
      <c r="A79" s="23"/>
      <c r="B79" s="23"/>
      <c r="C79" s="23"/>
      <c r="D79" s="23"/>
      <c r="E79" s="23"/>
      <c r="F79" s="23"/>
      <c r="G79" s="23"/>
    </row>
    <row r="80" spans="1:7" x14ac:dyDescent="0.2">
      <c r="A80" s="23"/>
      <c r="B80" s="23"/>
      <c r="C80" s="23"/>
      <c r="D80" s="23"/>
      <c r="E80" s="23"/>
      <c r="F80" s="23"/>
      <c r="G80" s="23"/>
    </row>
    <row r="81" spans="1:7" x14ac:dyDescent="0.2">
      <c r="A81" s="23"/>
      <c r="B81" s="23"/>
      <c r="C81" s="23"/>
      <c r="D81" s="23"/>
      <c r="E81" s="23"/>
      <c r="F81" s="23"/>
      <c r="G81" s="23"/>
    </row>
    <row r="82" spans="1:7" ht="31" customHeight="1" x14ac:dyDescent="0.2">
      <c r="A82" s="99" t="s">
        <v>131</v>
      </c>
      <c r="B82" s="99"/>
      <c r="C82" s="99"/>
      <c r="D82" s="99"/>
      <c r="E82" s="99"/>
      <c r="F82" s="99"/>
      <c r="G82" s="99"/>
    </row>
  </sheetData>
  <sortState xmlns:xlrd2="http://schemas.microsoft.com/office/spreadsheetml/2017/richdata2" ref="D35:G65">
    <sortCondition descending="1" ref="F35:F65"/>
  </sortState>
  <mergeCells count="3">
    <mergeCell ref="A1:G1"/>
    <mergeCell ref="A31:G31"/>
    <mergeCell ref="A82:G82"/>
  </mergeCells>
  <pageMargins left="0.7" right="0.7" top="0.75" bottom="0.75" header="0.3" footer="0.3"/>
  <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16804-A552-E040-A466-E45E9F4C055C}">
  <dimension ref="A1:K25"/>
  <sheetViews>
    <sheetView showGridLines="0" workbookViewId="0">
      <selection activeCell="N25" sqref="N25"/>
    </sheetView>
  </sheetViews>
  <sheetFormatPr baseColWidth="10" defaultRowHeight="15" x14ac:dyDescent="0.2"/>
  <cols>
    <col min="2" max="2" width="16.83203125" customWidth="1"/>
    <col min="3" max="3" width="13.5" bestFit="1" customWidth="1"/>
    <col min="4" max="4" width="12.5" bestFit="1" customWidth="1"/>
    <col min="5" max="5" width="12.83203125" bestFit="1" customWidth="1"/>
  </cols>
  <sheetData>
    <row r="1" spans="1:11" ht="23" x14ac:dyDescent="0.25">
      <c r="A1" s="98" t="s">
        <v>141</v>
      </c>
      <c r="B1" s="98"/>
      <c r="C1" s="98"/>
      <c r="D1" s="98"/>
      <c r="E1" s="98"/>
      <c r="F1" s="98"/>
      <c r="G1" s="98"/>
      <c r="H1" s="98"/>
      <c r="I1" s="98"/>
      <c r="J1" s="98"/>
      <c r="K1" s="98"/>
    </row>
    <row r="2" spans="1:11" x14ac:dyDescent="0.2">
      <c r="A2" s="23"/>
      <c r="B2" s="23"/>
      <c r="C2" s="23"/>
      <c r="D2" s="23"/>
      <c r="E2" s="23"/>
      <c r="F2" s="23"/>
      <c r="G2" s="23"/>
      <c r="H2" s="23"/>
      <c r="I2" s="23"/>
      <c r="J2" s="23"/>
      <c r="K2" s="23"/>
    </row>
    <row r="3" spans="1:11" ht="19" x14ac:dyDescent="0.25">
      <c r="A3" s="100" t="s">
        <v>142</v>
      </c>
      <c r="B3" s="100"/>
      <c r="C3" s="100"/>
      <c r="D3" s="100"/>
      <c r="E3" s="100"/>
      <c r="F3" s="100"/>
      <c r="G3" s="100"/>
      <c r="H3" s="100"/>
      <c r="I3" s="100"/>
      <c r="J3" s="100"/>
      <c r="K3" s="100"/>
    </row>
    <row r="4" spans="1:11" ht="22" customHeight="1" x14ac:dyDescent="0.2">
      <c r="A4" s="12" t="s">
        <v>77</v>
      </c>
      <c r="B4" s="85" t="s">
        <v>132</v>
      </c>
      <c r="C4" s="12" t="s">
        <v>133</v>
      </c>
      <c r="D4" s="12" t="s">
        <v>134</v>
      </c>
      <c r="E4" s="12" t="s">
        <v>135</v>
      </c>
      <c r="F4" s="12" t="s">
        <v>5</v>
      </c>
      <c r="G4" s="12" t="s">
        <v>136</v>
      </c>
      <c r="H4" s="12" t="s">
        <v>137</v>
      </c>
      <c r="I4" s="12" t="s">
        <v>138</v>
      </c>
      <c r="J4" s="12" t="s">
        <v>139</v>
      </c>
      <c r="K4" s="12" t="s">
        <v>140</v>
      </c>
    </row>
    <row r="5" spans="1:11" x14ac:dyDescent="0.2">
      <c r="A5" s="12" t="s">
        <v>42</v>
      </c>
      <c r="B5" s="12">
        <f>COUNTIF(tblProduction[Line_ID],A5)*480</f>
        <v>43200</v>
      </c>
      <c r="C5" s="12">
        <f>SUMIFS(tblProduction[Downtime_Min],tblProduction[Line_ID],A5)</f>
        <v>2797</v>
      </c>
      <c r="D5" s="12">
        <f>B5-C5</f>
        <v>40403</v>
      </c>
      <c r="E5" s="12">
        <f>SUMIFS(tblProduction[Units_Produced],tblProduction[Line_ID],A5)</f>
        <v>31574</v>
      </c>
      <c r="F5" s="12">
        <f>SUMIFS(tblProduction[Defects],tblProduction[Line_ID],A5)</f>
        <v>729</v>
      </c>
      <c r="G5" s="12">
        <f>E5-F5</f>
        <v>30845</v>
      </c>
      <c r="H5" s="12">
        <f>D5/B5</f>
        <v>0.93525462962962957</v>
      </c>
      <c r="I5" s="86">
        <f>INDEX(Efficiency_Table!$B$2:$B$4,MATCH(A5,Efficiency_Table!$A$2:$A$4,0))</f>
        <v>84.103777777777793</v>
      </c>
      <c r="J5" s="12">
        <f>G5/E5</f>
        <v>0.9769113827833027</v>
      </c>
      <c r="K5" s="86">
        <f>H5*I5*J5</f>
        <v>76.84233274998968</v>
      </c>
    </row>
    <row r="6" spans="1:11" x14ac:dyDescent="0.2">
      <c r="A6" s="12" t="s">
        <v>43</v>
      </c>
      <c r="B6" s="12">
        <f>COUNTIF(tblProduction[Line_ID],A6)*480</f>
        <v>43200</v>
      </c>
      <c r="C6" s="12">
        <f>SUMIFS(tblProduction[Downtime_Min],tblProduction[Line_ID],A6)</f>
        <v>2750</v>
      </c>
      <c r="D6" s="12">
        <f>B6-C6</f>
        <v>40450</v>
      </c>
      <c r="E6" s="12">
        <f>SUMIFS(tblProduction[Units_Produced],tblProduction[Line_ID],A6)</f>
        <v>31358</v>
      </c>
      <c r="F6" s="12">
        <f>SUMIFS(tblProduction[Defects],tblProduction[Line_ID],A6)</f>
        <v>794</v>
      </c>
      <c r="G6" s="12">
        <f t="shared" ref="G6:G7" si="0">E6-F6</f>
        <v>30564</v>
      </c>
      <c r="H6" s="12">
        <f>D6/B6</f>
        <v>0.93634259259259256</v>
      </c>
      <c r="I6" s="86">
        <f>INDEX(Efficiency_Table!$B$2:$B$4,MATCH(A6,Efficiency_Table!$A$2:$A$4,0))</f>
        <v>84.346333333333348</v>
      </c>
      <c r="J6" s="12">
        <f>G6/E6</f>
        <v>0.97467950762165956</v>
      </c>
      <c r="K6" s="86">
        <f>H6*I6*J6</f>
        <v>76.977326271073849</v>
      </c>
    </row>
    <row r="7" spans="1:11" x14ac:dyDescent="0.2">
      <c r="A7" s="12" t="s">
        <v>44</v>
      </c>
      <c r="B7" s="12">
        <f>COUNTIF(tblProduction[Line_ID],A7)*480</f>
        <v>43200</v>
      </c>
      <c r="C7" s="12">
        <f>SUMIFS(tblProduction[Downtime_Min],tblProduction[Line_ID],A7)</f>
        <v>2767</v>
      </c>
      <c r="D7" s="12">
        <f>B7-C7</f>
        <v>40433</v>
      </c>
      <c r="E7" s="12">
        <f>SUMIFS(tblProduction[Units_Produced],tblProduction[Line_ID],A7)</f>
        <v>31163</v>
      </c>
      <c r="F7" s="12">
        <f>SUMIFS(tblProduction[Defects],tblProduction[Line_ID],A7)</f>
        <v>801</v>
      </c>
      <c r="G7" s="12">
        <f t="shared" si="0"/>
        <v>30362</v>
      </c>
      <c r="H7" s="12">
        <f t="shared" ref="H7" si="1">D7/B7</f>
        <v>0.93594907407407413</v>
      </c>
      <c r="I7" s="86">
        <f>INDEX(Efficiency_Table!$B$2:$B$4,MATCH(A7,Efficiency_Table!$A$2:$A$4,0))</f>
        <v>83.481999999999985</v>
      </c>
      <c r="J7" s="12">
        <f>G7/E7</f>
        <v>0.97429644129255843</v>
      </c>
      <c r="K7" s="86">
        <f>H7*I7*J7</f>
        <v>76.126555597132025</v>
      </c>
    </row>
    <row r="8" spans="1:11" x14ac:dyDescent="0.2">
      <c r="A8" s="23"/>
      <c r="B8" s="23"/>
      <c r="C8" s="23"/>
      <c r="D8" s="23"/>
      <c r="E8" s="23"/>
      <c r="F8" s="23"/>
      <c r="G8" s="23"/>
      <c r="H8" s="23"/>
      <c r="I8" s="23"/>
      <c r="J8" s="23"/>
      <c r="K8" s="23"/>
    </row>
    <row r="9" spans="1:11" x14ac:dyDescent="0.2">
      <c r="A9" s="23"/>
      <c r="B9" s="23"/>
      <c r="C9" s="23"/>
      <c r="D9" s="23"/>
      <c r="E9" s="23"/>
      <c r="F9" s="23"/>
      <c r="G9" s="23"/>
      <c r="H9" s="23"/>
      <c r="I9" s="23"/>
      <c r="J9" s="23"/>
      <c r="K9" s="23"/>
    </row>
    <row r="10" spans="1:11" x14ac:dyDescent="0.2">
      <c r="A10" s="23"/>
      <c r="B10" s="23"/>
      <c r="C10" s="23"/>
      <c r="D10" s="23"/>
      <c r="E10" s="23"/>
      <c r="F10" s="23"/>
      <c r="G10" s="23"/>
      <c r="H10" s="23"/>
      <c r="I10" s="23"/>
      <c r="J10" s="23"/>
      <c r="K10" s="23"/>
    </row>
    <row r="11" spans="1:11" x14ac:dyDescent="0.2">
      <c r="A11" s="23"/>
      <c r="B11" s="23"/>
      <c r="C11" s="23"/>
      <c r="D11" s="23"/>
      <c r="E11" s="23"/>
      <c r="F11" s="23"/>
      <c r="G11" s="23"/>
      <c r="H11" s="23"/>
      <c r="I11" s="23"/>
      <c r="J11" s="23"/>
      <c r="K11" s="23"/>
    </row>
    <row r="12" spans="1:11" x14ac:dyDescent="0.2">
      <c r="A12" s="23"/>
      <c r="B12" s="23"/>
      <c r="C12" s="23"/>
      <c r="D12" s="23"/>
      <c r="E12" s="23"/>
      <c r="F12" s="23"/>
      <c r="G12" s="23"/>
      <c r="H12" s="23"/>
      <c r="I12" s="23"/>
      <c r="J12" s="23"/>
      <c r="K12" s="23"/>
    </row>
    <row r="13" spans="1:11" x14ac:dyDescent="0.2">
      <c r="A13" s="23"/>
      <c r="B13" s="23"/>
      <c r="C13" s="23"/>
      <c r="D13" s="23"/>
      <c r="E13" s="23"/>
      <c r="F13" s="23"/>
      <c r="G13" s="23"/>
      <c r="H13" s="23"/>
      <c r="I13" s="23"/>
      <c r="J13" s="23"/>
      <c r="K13" s="23"/>
    </row>
    <row r="14" spans="1:11" x14ac:dyDescent="0.2">
      <c r="A14" s="23"/>
      <c r="B14" s="23"/>
      <c r="C14" s="23"/>
      <c r="D14" s="23"/>
      <c r="E14" s="23"/>
      <c r="F14" s="23"/>
      <c r="G14" s="23"/>
      <c r="H14" s="23"/>
      <c r="I14" s="23"/>
      <c r="J14" s="23"/>
      <c r="K14" s="23"/>
    </row>
    <row r="15" spans="1:11" x14ac:dyDescent="0.2">
      <c r="A15" s="23"/>
      <c r="B15" s="23"/>
      <c r="C15" s="23"/>
      <c r="D15" s="23"/>
      <c r="E15" s="23"/>
      <c r="F15" s="23"/>
      <c r="G15" s="23"/>
      <c r="H15" s="23"/>
      <c r="I15" s="23"/>
      <c r="J15" s="23"/>
      <c r="K15" s="23"/>
    </row>
    <row r="16" spans="1:11" x14ac:dyDescent="0.2">
      <c r="A16" s="23"/>
      <c r="B16" s="23"/>
      <c r="C16" s="23"/>
      <c r="D16" s="23"/>
      <c r="E16" s="23"/>
      <c r="F16" s="23"/>
      <c r="G16" s="23"/>
      <c r="H16" s="23"/>
      <c r="I16" s="23"/>
      <c r="J16" s="23"/>
      <c r="K16" s="23"/>
    </row>
    <row r="17" spans="1:11" x14ac:dyDescent="0.2">
      <c r="A17" s="23"/>
      <c r="B17" s="23"/>
      <c r="C17" s="23"/>
      <c r="D17" s="23"/>
      <c r="E17" s="23"/>
      <c r="F17" s="23"/>
      <c r="G17" s="23"/>
      <c r="H17" s="23"/>
      <c r="I17" s="23"/>
      <c r="J17" s="23"/>
      <c r="K17" s="23"/>
    </row>
    <row r="18" spans="1:11" x14ac:dyDescent="0.2">
      <c r="A18" s="23"/>
      <c r="B18" s="23"/>
      <c r="C18" s="23"/>
      <c r="D18" s="23"/>
      <c r="E18" s="23"/>
      <c r="F18" s="23"/>
      <c r="G18" s="23"/>
      <c r="H18" s="23"/>
      <c r="I18" s="23"/>
      <c r="J18" s="23"/>
      <c r="K18" s="23"/>
    </row>
    <row r="19" spans="1:11" x14ac:dyDescent="0.2">
      <c r="A19" s="23"/>
      <c r="B19" s="23"/>
      <c r="C19" s="23"/>
      <c r="D19" s="23"/>
      <c r="E19" s="23"/>
      <c r="F19" s="23"/>
      <c r="G19" s="23"/>
      <c r="H19" s="23"/>
      <c r="I19" s="23"/>
      <c r="J19" s="23"/>
      <c r="K19" s="23"/>
    </row>
    <row r="20" spans="1:11" x14ac:dyDescent="0.2">
      <c r="A20" s="23"/>
      <c r="B20" s="23"/>
      <c r="C20" s="23"/>
      <c r="D20" s="23"/>
      <c r="E20" s="23"/>
      <c r="F20" s="23"/>
      <c r="G20" s="23"/>
      <c r="H20" s="23"/>
      <c r="I20" s="23"/>
      <c r="J20" s="23"/>
      <c r="K20" s="23"/>
    </row>
    <row r="21" spans="1:11" x14ac:dyDescent="0.2">
      <c r="A21" s="23"/>
      <c r="B21" s="23"/>
      <c r="C21" s="23"/>
      <c r="D21" s="23"/>
      <c r="E21" s="23"/>
      <c r="F21" s="23"/>
      <c r="G21" s="23"/>
      <c r="H21" s="23"/>
      <c r="I21" s="23"/>
      <c r="J21" s="23"/>
      <c r="K21" s="23"/>
    </row>
    <row r="22" spans="1:11" x14ac:dyDescent="0.2">
      <c r="A22" s="23"/>
      <c r="B22" s="23"/>
      <c r="C22" s="23"/>
      <c r="D22" s="23"/>
      <c r="E22" s="23"/>
      <c r="F22" s="23"/>
      <c r="G22" s="23"/>
      <c r="H22" s="23"/>
      <c r="I22" s="23"/>
      <c r="J22" s="23"/>
      <c r="K22" s="23"/>
    </row>
    <row r="23" spans="1:11" x14ac:dyDescent="0.2">
      <c r="A23" s="23"/>
      <c r="B23" s="23"/>
      <c r="C23" s="23"/>
      <c r="D23" s="23"/>
      <c r="E23" s="23"/>
      <c r="F23" s="23"/>
      <c r="G23" s="23"/>
      <c r="H23" s="23"/>
      <c r="I23" s="23"/>
      <c r="J23" s="23"/>
      <c r="K23" s="23"/>
    </row>
    <row r="24" spans="1:11" ht="38" customHeight="1" x14ac:dyDescent="0.2">
      <c r="A24" s="101" t="s">
        <v>144</v>
      </c>
      <c r="B24" s="101"/>
      <c r="C24" s="101"/>
      <c r="D24" s="101"/>
      <c r="E24" s="101"/>
      <c r="F24" s="101"/>
      <c r="G24" s="101"/>
      <c r="H24" s="101"/>
      <c r="I24" s="101"/>
      <c r="J24" s="101"/>
      <c r="K24" s="101"/>
    </row>
    <row r="25" spans="1:11" ht="24" customHeight="1" x14ac:dyDescent="0.2">
      <c r="A25" s="101" t="s">
        <v>143</v>
      </c>
      <c r="B25" s="101"/>
      <c r="C25" s="101"/>
      <c r="D25" s="101"/>
      <c r="E25" s="101"/>
      <c r="F25" s="101"/>
      <c r="G25" s="101"/>
      <c r="H25" s="101"/>
      <c r="I25" s="101"/>
      <c r="J25" s="101"/>
      <c r="K25" s="101"/>
    </row>
  </sheetData>
  <mergeCells count="4">
    <mergeCell ref="A1:K1"/>
    <mergeCell ref="A3:K3"/>
    <mergeCell ref="A24:K24"/>
    <mergeCell ref="A25:K25"/>
  </mergeCells>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84446-1941-2148-A60F-0444A6B65408}">
  <dimension ref="A1:F25"/>
  <sheetViews>
    <sheetView showGridLines="0" topLeftCell="A3" zoomScale="119" zoomScaleNormal="119" workbookViewId="0">
      <selection activeCell="A3" sqref="A3:F25"/>
    </sheetView>
  </sheetViews>
  <sheetFormatPr baseColWidth="10" defaultRowHeight="15" x14ac:dyDescent="0.2"/>
  <cols>
    <col min="1" max="1" width="10" bestFit="1" customWidth="1"/>
    <col min="2" max="2" width="21.83203125" bestFit="1" customWidth="1"/>
    <col min="5" max="5" width="11.6640625" bestFit="1" customWidth="1"/>
  </cols>
  <sheetData>
    <row r="1" spans="1:6" ht="23" x14ac:dyDescent="0.25">
      <c r="A1" s="103" t="s">
        <v>64</v>
      </c>
      <c r="B1" s="103"/>
      <c r="C1" s="103"/>
      <c r="D1" s="103"/>
      <c r="E1" s="103"/>
      <c r="F1" s="103"/>
    </row>
    <row r="2" spans="1:6" ht="14" customHeight="1" x14ac:dyDescent="0.25">
      <c r="A2" s="29"/>
      <c r="B2" s="29"/>
      <c r="C2" s="29"/>
      <c r="D2" s="29"/>
      <c r="E2" s="29"/>
      <c r="F2" s="29"/>
    </row>
    <row r="3" spans="1:6" x14ac:dyDescent="0.2">
      <c r="A3" s="102" t="s">
        <v>65</v>
      </c>
      <c r="B3" s="102"/>
      <c r="C3" s="23"/>
      <c r="D3" s="23"/>
      <c r="E3" s="23"/>
      <c r="F3" s="23"/>
    </row>
    <row r="4" spans="1:6" x14ac:dyDescent="0.2">
      <c r="A4" s="34" t="s">
        <v>1</v>
      </c>
      <c r="B4" s="20" t="s">
        <v>75</v>
      </c>
      <c r="C4" s="23"/>
      <c r="D4" s="35" t="s">
        <v>1</v>
      </c>
      <c r="E4" s="33" t="s">
        <v>62</v>
      </c>
      <c r="F4" s="32" t="s">
        <v>63</v>
      </c>
    </row>
    <row r="5" spans="1:6" x14ac:dyDescent="0.2">
      <c r="A5" s="13" t="s">
        <v>40</v>
      </c>
      <c r="B5" s="14">
        <v>347.52222222222224</v>
      </c>
      <c r="C5" s="23"/>
      <c r="D5" s="12" t="s">
        <v>40</v>
      </c>
      <c r="E5" s="31">
        <f>GETPIVOTDATA("Average of Units Produced",$A$5,"Shift",A5)</f>
        <v>347.52222222222224</v>
      </c>
      <c r="F5" s="12" cm="1">
        <f t="array" ref="F5">_xlfn.STDEV.P(_xlfn._xlws.FILTER(tblProduction[Units_Produced], tblProduction[Shift]= "Afternoon"))</f>
        <v>90.56700745583997</v>
      </c>
    </row>
    <row r="6" spans="1:6" x14ac:dyDescent="0.2">
      <c r="A6" s="13" t="s">
        <v>39</v>
      </c>
      <c r="B6" s="14">
        <v>351.35555555555555</v>
      </c>
      <c r="C6" s="23"/>
      <c r="D6" s="12" t="s">
        <v>39</v>
      </c>
      <c r="E6" s="31">
        <f>GETPIVOTDATA("Average of Units Produced",$A$5,"Shift",A6)</f>
        <v>351.35555555555555</v>
      </c>
      <c r="F6" s="12" cm="1">
        <f t="array" ref="F6">_xlfn.STDEV.P(_xlfn._xlws.FILTER(tblProduction[Units_Produced],tblProduction[Shift]="Morning"))</f>
        <v>82.182765307455114</v>
      </c>
    </row>
    <row r="7" spans="1:6" x14ac:dyDescent="0.2">
      <c r="A7" s="13" t="s">
        <v>41</v>
      </c>
      <c r="B7" s="14">
        <v>346.62222222222221</v>
      </c>
      <c r="C7" s="23"/>
      <c r="D7" s="12" t="s">
        <v>41</v>
      </c>
      <c r="E7" s="31">
        <f>GETPIVOTDATA("Average of Units Produced",$A$5,"Shift",A7)</f>
        <v>346.62222222222221</v>
      </c>
      <c r="F7" s="12" cm="1">
        <f t="array" ref="F7">_xlfn.STDEV.P(_xlfn._xlws.FILTER(tblProduction[Units_Produced],tblProduction[Shift]="Night"))</f>
        <v>91.923347025633603</v>
      </c>
    </row>
    <row r="8" spans="1:6" x14ac:dyDescent="0.2">
      <c r="A8" s="13" t="s">
        <v>61</v>
      </c>
      <c r="B8" s="4">
        <v>348.5</v>
      </c>
      <c r="C8" s="23"/>
      <c r="D8" s="23"/>
      <c r="E8" s="23"/>
      <c r="F8" s="23"/>
    </row>
    <row r="9" spans="1:6" x14ac:dyDescent="0.2">
      <c r="A9" s="23"/>
      <c r="B9" s="23"/>
      <c r="C9" s="23"/>
      <c r="D9" s="23"/>
      <c r="E9" s="26"/>
      <c r="F9" s="23"/>
    </row>
    <row r="10" spans="1:6" x14ac:dyDescent="0.2">
      <c r="A10" s="23"/>
      <c r="B10" s="23"/>
      <c r="C10" s="23"/>
      <c r="D10" s="23"/>
      <c r="E10" s="23"/>
      <c r="F10" s="23"/>
    </row>
    <row r="11" spans="1:6" x14ac:dyDescent="0.2">
      <c r="A11" s="23"/>
      <c r="B11" s="23"/>
      <c r="C11" s="23"/>
      <c r="D11" s="23"/>
      <c r="E11" s="23"/>
      <c r="F11" s="23"/>
    </row>
    <row r="12" spans="1:6" x14ac:dyDescent="0.2">
      <c r="A12" s="23"/>
      <c r="B12" s="23"/>
      <c r="C12" s="23"/>
      <c r="D12" s="23"/>
      <c r="E12" s="23"/>
      <c r="F12" s="23"/>
    </row>
    <row r="13" spans="1:6" x14ac:dyDescent="0.2">
      <c r="A13" s="23"/>
      <c r="B13" s="23"/>
      <c r="C13" s="23"/>
      <c r="D13" s="23"/>
      <c r="E13" s="23"/>
      <c r="F13" s="23"/>
    </row>
    <row r="14" spans="1:6" x14ac:dyDescent="0.2">
      <c r="A14" s="23"/>
      <c r="B14" s="23"/>
      <c r="C14" s="23"/>
      <c r="D14" s="23"/>
      <c r="E14" s="23"/>
      <c r="F14" s="23"/>
    </row>
    <row r="15" spans="1:6" x14ac:dyDescent="0.2">
      <c r="A15" s="23"/>
      <c r="B15" s="23"/>
      <c r="C15" s="23"/>
      <c r="D15" s="23"/>
      <c r="E15" s="23"/>
      <c r="F15" s="23"/>
    </row>
    <row r="16" spans="1:6" x14ac:dyDescent="0.2">
      <c r="A16" s="23"/>
      <c r="B16" s="23"/>
      <c r="C16" s="23"/>
      <c r="D16" s="23"/>
      <c r="E16" s="23"/>
      <c r="F16" s="23"/>
    </row>
    <row r="17" spans="1:6" x14ac:dyDescent="0.2">
      <c r="A17" s="23"/>
      <c r="B17" s="23"/>
      <c r="C17" s="23"/>
      <c r="D17" s="23"/>
      <c r="E17" s="23"/>
      <c r="F17" s="23"/>
    </row>
    <row r="18" spans="1:6" x14ac:dyDescent="0.2">
      <c r="A18" s="23"/>
      <c r="B18" s="23"/>
      <c r="C18" s="23"/>
      <c r="D18" s="23"/>
      <c r="E18" s="23"/>
      <c r="F18" s="23"/>
    </row>
    <row r="19" spans="1:6" x14ac:dyDescent="0.2">
      <c r="A19" s="23"/>
      <c r="B19" s="23"/>
      <c r="C19" s="23"/>
      <c r="D19" s="23"/>
      <c r="E19" s="23"/>
      <c r="F19" s="23"/>
    </row>
    <row r="20" spans="1:6" x14ac:dyDescent="0.2">
      <c r="A20" s="23"/>
      <c r="B20" s="23"/>
      <c r="C20" s="23"/>
      <c r="D20" s="23"/>
      <c r="E20" s="23"/>
      <c r="F20" s="23"/>
    </row>
    <row r="21" spans="1:6" x14ac:dyDescent="0.2">
      <c r="A21" s="23"/>
      <c r="B21" s="23"/>
      <c r="C21" s="23"/>
      <c r="D21" s="23"/>
      <c r="E21" s="23"/>
      <c r="F21" s="23"/>
    </row>
    <row r="22" spans="1:6" x14ac:dyDescent="0.2">
      <c r="A22" s="23"/>
      <c r="B22" s="23"/>
      <c r="C22" s="23"/>
      <c r="D22" s="23"/>
      <c r="E22" s="23"/>
      <c r="F22" s="23"/>
    </row>
    <row r="23" spans="1:6" x14ac:dyDescent="0.2">
      <c r="A23" s="23"/>
      <c r="B23" s="23"/>
      <c r="C23" s="23"/>
      <c r="D23" s="23"/>
      <c r="E23" s="23"/>
      <c r="F23" s="23"/>
    </row>
    <row r="24" spans="1:6" ht="63" customHeight="1" x14ac:dyDescent="0.2">
      <c r="A24" s="104" t="s">
        <v>66</v>
      </c>
      <c r="B24" s="104"/>
      <c r="C24" s="104"/>
      <c r="D24" s="104"/>
      <c r="E24" s="104"/>
      <c r="F24" s="104"/>
    </row>
    <row r="25" spans="1:6" x14ac:dyDescent="0.2">
      <c r="A25" s="30"/>
      <c r="B25" s="23"/>
      <c r="C25" s="23"/>
      <c r="D25" s="23"/>
      <c r="E25" s="23"/>
      <c r="F25" s="23"/>
    </row>
  </sheetData>
  <mergeCells count="3">
    <mergeCell ref="A3:B3"/>
    <mergeCell ref="A1:F1"/>
    <mergeCell ref="A24:F24"/>
  </mergeCells>
  <pageMargins left="0.7" right="0.7" top="0.75" bottom="0.75" header="0.3" footer="0.3"/>
  <pageSetup orientation="portrait" horizontalDpi="0" verticalDpi="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86B83-1263-2943-9333-192B201A1198}">
  <dimension ref="A1:H25"/>
  <sheetViews>
    <sheetView showGridLines="0" zoomScale="116" workbookViewId="0">
      <selection activeCell="E7" sqref="E7"/>
    </sheetView>
  </sheetViews>
  <sheetFormatPr baseColWidth="10" defaultRowHeight="15" x14ac:dyDescent="0.2"/>
  <cols>
    <col min="1" max="1" width="13.83203125" bestFit="1" customWidth="1"/>
    <col min="2" max="2" width="11.1640625" bestFit="1" customWidth="1"/>
    <col min="3" max="3" width="17.33203125" bestFit="1" customWidth="1"/>
    <col min="8" max="8" width="10.33203125" bestFit="1" customWidth="1"/>
  </cols>
  <sheetData>
    <row r="1" spans="1:8" ht="24" customHeight="1" x14ac:dyDescent="0.25">
      <c r="A1" s="103" t="s">
        <v>71</v>
      </c>
      <c r="B1" s="103"/>
      <c r="C1" s="103"/>
      <c r="D1" s="103"/>
      <c r="E1" s="103"/>
      <c r="F1" s="103"/>
      <c r="G1" s="103"/>
      <c r="H1" s="103"/>
    </row>
    <row r="2" spans="1:8" x14ac:dyDescent="0.2">
      <c r="A2" s="23"/>
      <c r="B2" s="23"/>
      <c r="C2" s="23"/>
      <c r="D2" s="23"/>
      <c r="E2" s="23"/>
      <c r="F2" s="23"/>
      <c r="G2" s="23"/>
      <c r="H2" s="23"/>
    </row>
    <row r="3" spans="1:8" x14ac:dyDescent="0.2">
      <c r="A3" s="11" t="s">
        <v>70</v>
      </c>
      <c r="B3" s="12" t="s">
        <v>67</v>
      </c>
      <c r="C3" s="12" t="s">
        <v>74</v>
      </c>
      <c r="D3" s="23"/>
      <c r="E3" s="18" t="s">
        <v>70</v>
      </c>
      <c r="F3" s="18" t="s">
        <v>67</v>
      </c>
      <c r="G3" s="18" t="s">
        <v>68</v>
      </c>
      <c r="H3" s="18" t="s">
        <v>69</v>
      </c>
    </row>
    <row r="4" spans="1:8" x14ac:dyDescent="0.2">
      <c r="A4" s="19" t="s">
        <v>46</v>
      </c>
      <c r="B4" s="27">
        <v>657</v>
      </c>
      <c r="C4" s="27">
        <v>29460</v>
      </c>
      <c r="D4" s="24"/>
      <c r="E4" s="19" t="s">
        <v>113</v>
      </c>
      <c r="F4" s="20">
        <f>GETPIVOTDATA("Total Defects",$A$4,"Product_Type",A4)</f>
        <v>657</v>
      </c>
      <c r="G4" s="20">
        <f>GETPIVOTDATA("Total Units Produced",$A$4,"Product_Type",A4)</f>
        <v>29460</v>
      </c>
      <c r="H4" s="21">
        <f>F4/G4</f>
        <v>2.230142566191446E-2</v>
      </c>
    </row>
    <row r="5" spans="1:8" x14ac:dyDescent="0.2">
      <c r="A5" s="19" t="s">
        <v>47</v>
      </c>
      <c r="B5" s="27">
        <v>796</v>
      </c>
      <c r="C5" s="27">
        <v>31232</v>
      </c>
      <c r="D5" s="24"/>
      <c r="E5" s="19" t="s">
        <v>114</v>
      </c>
      <c r="F5" s="20">
        <f>GETPIVOTDATA("Total Defects",$A$4,"Product_Type",A5)</f>
        <v>796</v>
      </c>
      <c r="G5" s="20">
        <f>GETPIVOTDATA("Total Units Produced",$A$4,"Product_Type",A5)</f>
        <v>31232</v>
      </c>
      <c r="H5" s="21">
        <f>F5/G5</f>
        <v>2.5486680327868851E-2</v>
      </c>
    </row>
    <row r="6" spans="1:8" x14ac:dyDescent="0.2">
      <c r="A6" s="19" t="s">
        <v>45</v>
      </c>
      <c r="B6" s="27">
        <v>871</v>
      </c>
      <c r="C6" s="27">
        <v>33403</v>
      </c>
      <c r="D6" s="24"/>
      <c r="E6" s="19" t="s">
        <v>115</v>
      </c>
      <c r="F6" s="20">
        <f>GETPIVOTDATA("Total Defects",$A$4,"Product_Type",A6)</f>
        <v>871</v>
      </c>
      <c r="G6" s="20">
        <f>GETPIVOTDATA("Total Units Produced",$A$4,"Product_Type",A6)</f>
        <v>33403</v>
      </c>
      <c r="H6" s="21">
        <f>F6/G6</f>
        <v>2.6075502200401161E-2</v>
      </c>
    </row>
    <row r="7" spans="1:8" x14ac:dyDescent="0.2">
      <c r="A7" s="13" t="s">
        <v>61</v>
      </c>
      <c r="B7" s="28">
        <v>2324</v>
      </c>
      <c r="C7" s="28">
        <v>94095</v>
      </c>
      <c r="D7" s="23"/>
      <c r="E7" s="23"/>
      <c r="F7" s="23"/>
      <c r="G7" s="23"/>
      <c r="H7" s="23"/>
    </row>
    <row r="8" spans="1:8" x14ac:dyDescent="0.2">
      <c r="A8" s="25"/>
      <c r="B8" s="26"/>
      <c r="C8" s="26"/>
      <c r="D8" s="23"/>
      <c r="E8" s="23"/>
      <c r="F8" s="23"/>
      <c r="G8" s="23"/>
      <c r="H8" s="23"/>
    </row>
    <row r="9" spans="1:8" s="22" customFormat="1" ht="37" customHeight="1" x14ac:dyDescent="0.2">
      <c r="A9" s="105" t="s">
        <v>73</v>
      </c>
      <c r="B9" s="105"/>
      <c r="C9" s="105"/>
      <c r="D9" s="105"/>
      <c r="E9" s="105"/>
      <c r="F9" s="105"/>
      <c r="G9" s="105"/>
      <c r="H9" s="105"/>
    </row>
    <row r="10" spans="1:8" x14ac:dyDescent="0.2">
      <c r="A10" s="23"/>
      <c r="B10" s="23"/>
      <c r="C10" s="23"/>
      <c r="D10" s="23"/>
      <c r="E10" s="23"/>
      <c r="F10" s="23"/>
      <c r="G10" s="23"/>
      <c r="H10" s="23"/>
    </row>
    <row r="11" spans="1:8" x14ac:dyDescent="0.2">
      <c r="A11" s="9" t="s">
        <v>7</v>
      </c>
      <c r="B11" t="s">
        <v>67</v>
      </c>
      <c r="C11" s="23"/>
      <c r="D11" s="23"/>
      <c r="E11" s="23"/>
      <c r="F11" s="23"/>
      <c r="G11" s="23"/>
      <c r="H11" s="23"/>
    </row>
    <row r="12" spans="1:8" x14ac:dyDescent="0.2">
      <c r="A12" s="10" t="s">
        <v>53</v>
      </c>
      <c r="B12" s="1">
        <v>338</v>
      </c>
      <c r="C12" s="23"/>
      <c r="D12" s="23"/>
      <c r="E12" s="23"/>
      <c r="F12" s="23"/>
      <c r="G12" s="23"/>
      <c r="H12" s="23"/>
    </row>
    <row r="13" spans="1:8" x14ac:dyDescent="0.2">
      <c r="A13" s="10" t="s">
        <v>50</v>
      </c>
      <c r="B13" s="1">
        <v>324</v>
      </c>
      <c r="C13" s="23"/>
      <c r="D13" s="23"/>
      <c r="E13" s="23"/>
      <c r="F13" s="23"/>
      <c r="G13" s="23"/>
      <c r="H13" s="23"/>
    </row>
    <row r="14" spans="1:8" x14ac:dyDescent="0.2">
      <c r="A14" s="10" t="s">
        <v>57</v>
      </c>
      <c r="B14" s="1">
        <v>272</v>
      </c>
      <c r="C14" s="23"/>
      <c r="D14" s="23"/>
      <c r="E14" s="23"/>
      <c r="F14" s="23"/>
      <c r="G14" s="23"/>
      <c r="H14" s="23"/>
    </row>
    <row r="15" spans="1:8" x14ac:dyDescent="0.2">
      <c r="A15" s="10" t="s">
        <v>55</v>
      </c>
      <c r="B15" s="1">
        <v>241</v>
      </c>
      <c r="C15" s="23"/>
      <c r="D15" s="23"/>
      <c r="E15" s="23"/>
      <c r="F15" s="23"/>
      <c r="G15" s="23"/>
      <c r="H15" s="23"/>
    </row>
    <row r="16" spans="1:8" x14ac:dyDescent="0.2">
      <c r="A16" s="10" t="s">
        <v>52</v>
      </c>
      <c r="B16" s="1">
        <v>224</v>
      </c>
      <c r="C16" s="23"/>
      <c r="D16" s="23"/>
      <c r="E16" s="23"/>
      <c r="F16" s="23"/>
      <c r="G16" s="23"/>
      <c r="H16" s="23"/>
    </row>
    <row r="17" spans="1:8" x14ac:dyDescent="0.2">
      <c r="A17" s="10" t="s">
        <v>49</v>
      </c>
      <c r="B17" s="1">
        <v>220</v>
      </c>
      <c r="C17" s="23"/>
      <c r="D17" s="23"/>
      <c r="E17" s="23"/>
      <c r="F17" s="23"/>
      <c r="G17" s="23"/>
      <c r="H17" s="23"/>
    </row>
    <row r="18" spans="1:8" x14ac:dyDescent="0.2">
      <c r="A18" s="10" t="s">
        <v>54</v>
      </c>
      <c r="B18" s="1">
        <v>216</v>
      </c>
      <c r="C18" s="23"/>
      <c r="D18" s="23"/>
      <c r="E18" s="23"/>
      <c r="F18" s="23"/>
      <c r="G18" s="23"/>
      <c r="H18" s="23"/>
    </row>
    <row r="19" spans="1:8" x14ac:dyDescent="0.2">
      <c r="A19" s="10" t="s">
        <v>48</v>
      </c>
      <c r="B19" s="1">
        <v>205</v>
      </c>
      <c r="C19" s="23"/>
      <c r="D19" s="23"/>
      <c r="E19" s="23"/>
      <c r="F19" s="23"/>
      <c r="G19" s="23"/>
      <c r="H19" s="23"/>
    </row>
    <row r="20" spans="1:8" x14ac:dyDescent="0.2">
      <c r="A20" s="10" t="s">
        <v>56</v>
      </c>
      <c r="B20" s="1">
        <v>165</v>
      </c>
      <c r="C20" s="23"/>
      <c r="D20" s="23"/>
      <c r="E20" s="23"/>
      <c r="F20" s="23"/>
      <c r="G20" s="23"/>
      <c r="H20" s="23"/>
    </row>
    <row r="21" spans="1:8" x14ac:dyDescent="0.2">
      <c r="A21" s="10" t="s">
        <v>51</v>
      </c>
      <c r="B21" s="1">
        <v>119</v>
      </c>
      <c r="C21" s="23"/>
      <c r="D21" s="23"/>
      <c r="E21" s="23"/>
      <c r="F21" s="23"/>
      <c r="G21" s="23"/>
      <c r="H21" s="23"/>
    </row>
    <row r="22" spans="1:8" x14ac:dyDescent="0.2">
      <c r="A22" s="10" t="s">
        <v>61</v>
      </c>
      <c r="B22" s="1">
        <v>2324</v>
      </c>
      <c r="C22" s="23"/>
      <c r="D22" s="23"/>
      <c r="E22" s="23"/>
      <c r="F22" s="23"/>
      <c r="G22" s="23"/>
      <c r="H22" s="23"/>
    </row>
    <row r="23" spans="1:8" x14ac:dyDescent="0.2">
      <c r="A23" s="23"/>
      <c r="B23" s="23"/>
      <c r="C23" s="23"/>
      <c r="D23" s="23"/>
      <c r="E23" s="23"/>
      <c r="F23" s="23"/>
      <c r="G23" s="23"/>
      <c r="H23" s="23"/>
    </row>
    <row r="24" spans="1:8" ht="41" customHeight="1" x14ac:dyDescent="0.2">
      <c r="A24" s="105" t="s">
        <v>72</v>
      </c>
      <c r="B24" s="105"/>
      <c r="C24" s="105"/>
      <c r="D24" s="105"/>
      <c r="E24" s="105"/>
      <c r="F24" s="105"/>
      <c r="G24" s="105"/>
      <c r="H24" s="105"/>
    </row>
    <row r="25" spans="1:8" x14ac:dyDescent="0.2">
      <c r="A25" s="23"/>
      <c r="B25" s="23"/>
      <c r="C25" s="23"/>
      <c r="D25" s="23"/>
      <c r="E25" s="23"/>
      <c r="F25" s="23"/>
      <c r="G25" s="23"/>
      <c r="H25" s="23"/>
    </row>
  </sheetData>
  <mergeCells count="3">
    <mergeCell ref="A1:H1"/>
    <mergeCell ref="A9:H9"/>
    <mergeCell ref="A24:H24"/>
  </mergeCells>
  <pageMargins left="0.7" right="0.7" top="0.75" bottom="0.75" header="0.3" footer="0.3"/>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1EEB5-3C91-274D-A1A4-6683FE90B6C1}">
  <dimension ref="A1:H40"/>
  <sheetViews>
    <sheetView showGridLines="0" zoomScale="125" zoomScaleNormal="75" workbookViewId="0">
      <selection activeCell="L16" sqref="L16"/>
    </sheetView>
  </sheetViews>
  <sheetFormatPr baseColWidth="10" defaultRowHeight="15" x14ac:dyDescent="0.2"/>
  <cols>
    <col min="1" max="1" width="10" bestFit="1" customWidth="1"/>
    <col min="2" max="2" width="19" bestFit="1" customWidth="1"/>
    <col min="5" max="5" width="17.83203125" bestFit="1" customWidth="1"/>
  </cols>
  <sheetData>
    <row r="1" spans="1:8" ht="23" x14ac:dyDescent="0.25">
      <c r="A1" s="96" t="s">
        <v>79</v>
      </c>
      <c r="B1" s="96"/>
      <c r="C1" s="96"/>
      <c r="D1" s="96"/>
      <c r="E1" s="96"/>
      <c r="F1" s="96"/>
      <c r="G1" s="96"/>
      <c r="H1" s="96"/>
    </row>
    <row r="2" spans="1:8" x14ac:dyDescent="0.2">
      <c r="A2" s="23"/>
      <c r="B2" s="23"/>
      <c r="C2" s="23"/>
      <c r="D2" s="23"/>
      <c r="E2" s="23"/>
      <c r="F2" s="23"/>
      <c r="G2" s="23"/>
      <c r="H2" s="23"/>
    </row>
    <row r="3" spans="1:8" x14ac:dyDescent="0.2">
      <c r="A3" s="11" t="s">
        <v>2</v>
      </c>
      <c r="B3" s="12" t="s">
        <v>76</v>
      </c>
      <c r="C3" s="23"/>
      <c r="D3" s="15" t="s">
        <v>77</v>
      </c>
      <c r="E3" s="15" t="s">
        <v>78</v>
      </c>
      <c r="F3" s="23"/>
      <c r="G3" s="23"/>
      <c r="H3" s="23"/>
    </row>
    <row r="4" spans="1:8" x14ac:dyDescent="0.2">
      <c r="A4" s="13" t="s">
        <v>42</v>
      </c>
      <c r="B4" s="28">
        <v>2797</v>
      </c>
      <c r="C4" s="23"/>
      <c r="D4" s="12" t="s">
        <v>42</v>
      </c>
      <c r="E4" s="12">
        <f>GETPIVOTDATA("Sum of Downtime_Min",$A$4,"Line_ID",A4)</f>
        <v>2797</v>
      </c>
      <c r="F4" s="23"/>
      <c r="G4" s="23"/>
      <c r="H4" s="23"/>
    </row>
    <row r="5" spans="1:8" x14ac:dyDescent="0.2">
      <c r="A5" s="13" t="s">
        <v>43</v>
      </c>
      <c r="B5" s="28">
        <v>2750</v>
      </c>
      <c r="C5" s="23"/>
      <c r="D5" s="12" t="s">
        <v>43</v>
      </c>
      <c r="E5" s="12">
        <f>GETPIVOTDATA("Sum of Downtime_Min",$A$4,"Line_ID",A5)</f>
        <v>2750</v>
      </c>
      <c r="F5" s="23"/>
      <c r="G5" s="23"/>
      <c r="H5" s="23"/>
    </row>
    <row r="6" spans="1:8" x14ac:dyDescent="0.2">
      <c r="A6" s="13" t="s">
        <v>44</v>
      </c>
      <c r="B6" s="28">
        <v>2767</v>
      </c>
      <c r="C6" s="23"/>
      <c r="D6" s="15" t="s">
        <v>44</v>
      </c>
      <c r="E6" s="15">
        <f>GETPIVOTDATA("Sum of Downtime_Min",$A$4,"Line_ID",A6)</f>
        <v>2767</v>
      </c>
      <c r="F6" s="23"/>
      <c r="G6" s="23"/>
      <c r="H6" s="23"/>
    </row>
    <row r="7" spans="1:8" x14ac:dyDescent="0.2">
      <c r="A7" s="13" t="s">
        <v>61</v>
      </c>
      <c r="B7" s="28">
        <v>8314</v>
      </c>
      <c r="C7" s="23"/>
      <c r="D7" s="23"/>
      <c r="E7" s="23"/>
      <c r="F7" s="23"/>
      <c r="G7" s="23"/>
      <c r="H7" s="23"/>
    </row>
    <row r="8" spans="1:8" x14ac:dyDescent="0.2">
      <c r="A8" s="23"/>
      <c r="B8" s="23"/>
      <c r="C8" s="23"/>
      <c r="D8" s="23"/>
      <c r="E8" s="23"/>
      <c r="F8" s="23"/>
      <c r="G8" s="23"/>
      <c r="H8" s="23"/>
    </row>
    <row r="9" spans="1:8" x14ac:dyDescent="0.2">
      <c r="A9" s="9" t="s">
        <v>0</v>
      </c>
      <c r="B9" t="s">
        <v>78</v>
      </c>
      <c r="C9" s="23"/>
      <c r="D9" s="23"/>
      <c r="E9" s="23"/>
      <c r="F9" s="23"/>
      <c r="G9" s="23"/>
      <c r="H9" s="23"/>
    </row>
    <row r="10" spans="1:8" x14ac:dyDescent="0.2">
      <c r="A10" s="10" t="s">
        <v>9</v>
      </c>
      <c r="B10" s="1">
        <v>343</v>
      </c>
      <c r="C10" s="23"/>
      <c r="D10" s="23"/>
      <c r="E10" s="23"/>
      <c r="F10" s="23"/>
      <c r="G10" s="23"/>
      <c r="H10" s="23"/>
    </row>
    <row r="11" spans="1:8" x14ac:dyDescent="0.2">
      <c r="A11" s="10" t="s">
        <v>10</v>
      </c>
      <c r="B11" s="1">
        <v>197</v>
      </c>
      <c r="C11" s="23"/>
      <c r="D11" s="23"/>
      <c r="E11" s="23"/>
      <c r="F11" s="23"/>
      <c r="G11" s="23"/>
      <c r="H11" s="23"/>
    </row>
    <row r="12" spans="1:8" x14ac:dyDescent="0.2">
      <c r="A12" s="10" t="s">
        <v>11</v>
      </c>
      <c r="B12" s="1">
        <v>243</v>
      </c>
      <c r="C12" s="23"/>
      <c r="D12" s="23"/>
      <c r="E12" s="23"/>
      <c r="F12" s="23"/>
      <c r="G12" s="23"/>
      <c r="H12" s="23"/>
    </row>
    <row r="13" spans="1:8" x14ac:dyDescent="0.2">
      <c r="A13" s="10" t="s">
        <v>12</v>
      </c>
      <c r="B13" s="1">
        <v>273</v>
      </c>
      <c r="C13" s="23"/>
      <c r="D13" s="23"/>
      <c r="E13" s="23"/>
      <c r="F13" s="23"/>
      <c r="G13" s="23"/>
      <c r="H13" s="23"/>
    </row>
    <row r="14" spans="1:8" x14ac:dyDescent="0.2">
      <c r="A14" s="10" t="s">
        <v>13</v>
      </c>
      <c r="B14" s="1">
        <v>316</v>
      </c>
      <c r="C14" s="23"/>
      <c r="D14" s="23"/>
      <c r="E14" s="23"/>
      <c r="F14" s="23"/>
      <c r="G14" s="23"/>
      <c r="H14" s="23"/>
    </row>
    <row r="15" spans="1:8" x14ac:dyDescent="0.2">
      <c r="A15" s="10" t="s">
        <v>14</v>
      </c>
      <c r="B15" s="1">
        <v>268</v>
      </c>
      <c r="C15" s="23"/>
      <c r="D15" s="23"/>
      <c r="E15" s="23"/>
      <c r="F15" s="23"/>
      <c r="G15" s="23"/>
      <c r="H15" s="23"/>
    </row>
    <row r="16" spans="1:8" x14ac:dyDescent="0.2">
      <c r="A16" s="10" t="s">
        <v>15</v>
      </c>
      <c r="B16" s="1">
        <v>219</v>
      </c>
      <c r="C16" s="23"/>
      <c r="D16" s="23"/>
      <c r="E16" s="23"/>
      <c r="F16" s="23"/>
      <c r="G16" s="23"/>
      <c r="H16" s="23"/>
    </row>
    <row r="17" spans="1:8" x14ac:dyDescent="0.2">
      <c r="A17" s="10" t="s">
        <v>16</v>
      </c>
      <c r="B17" s="1">
        <v>301</v>
      </c>
      <c r="C17" s="23"/>
      <c r="D17" s="23"/>
      <c r="E17" s="23"/>
      <c r="F17" s="23"/>
      <c r="G17" s="23"/>
      <c r="H17" s="23"/>
    </row>
    <row r="18" spans="1:8" x14ac:dyDescent="0.2">
      <c r="A18" s="10" t="s">
        <v>17</v>
      </c>
      <c r="B18" s="1">
        <v>269</v>
      </c>
      <c r="C18" s="23"/>
      <c r="D18" s="23"/>
      <c r="E18" s="23"/>
      <c r="F18" s="23"/>
      <c r="G18" s="23"/>
      <c r="H18" s="23"/>
    </row>
    <row r="19" spans="1:8" x14ac:dyDescent="0.2">
      <c r="A19" s="10" t="s">
        <v>18</v>
      </c>
      <c r="B19" s="1">
        <v>309</v>
      </c>
      <c r="C19" s="23"/>
      <c r="D19" s="23"/>
      <c r="E19" s="23"/>
      <c r="F19" s="23"/>
      <c r="G19" s="23"/>
      <c r="H19" s="23"/>
    </row>
    <row r="20" spans="1:8" x14ac:dyDescent="0.2">
      <c r="A20" s="10" t="s">
        <v>19</v>
      </c>
      <c r="B20" s="1">
        <v>312</v>
      </c>
      <c r="C20" s="23"/>
      <c r="D20" s="23"/>
      <c r="E20" s="23"/>
      <c r="F20" s="23"/>
      <c r="G20" s="23"/>
      <c r="H20" s="23"/>
    </row>
    <row r="21" spans="1:8" x14ac:dyDescent="0.2">
      <c r="A21" s="10" t="s">
        <v>20</v>
      </c>
      <c r="B21" s="1">
        <v>282</v>
      </c>
      <c r="C21" s="23"/>
      <c r="D21" s="23"/>
      <c r="E21" s="23"/>
      <c r="F21" s="23"/>
      <c r="G21" s="23"/>
      <c r="H21" s="23"/>
    </row>
    <row r="22" spans="1:8" x14ac:dyDescent="0.2">
      <c r="A22" s="10" t="s">
        <v>21</v>
      </c>
      <c r="B22" s="1">
        <v>225</v>
      </c>
      <c r="C22" s="23"/>
      <c r="D22" s="23"/>
      <c r="E22" s="23"/>
      <c r="F22" s="23"/>
      <c r="G22" s="23"/>
      <c r="H22" s="23"/>
    </row>
    <row r="23" spans="1:8" x14ac:dyDescent="0.2">
      <c r="A23" s="10" t="s">
        <v>22</v>
      </c>
      <c r="B23" s="1">
        <v>267</v>
      </c>
      <c r="C23" s="23"/>
      <c r="D23" s="23"/>
      <c r="E23" s="23"/>
      <c r="F23" s="23"/>
      <c r="G23" s="23"/>
      <c r="H23" s="23"/>
    </row>
    <row r="24" spans="1:8" x14ac:dyDescent="0.2">
      <c r="A24" s="10" t="s">
        <v>23</v>
      </c>
      <c r="B24" s="1">
        <v>302</v>
      </c>
      <c r="C24" s="23"/>
      <c r="D24" s="23"/>
      <c r="E24" s="23"/>
      <c r="F24" s="23"/>
      <c r="G24" s="23"/>
      <c r="H24" s="23"/>
    </row>
    <row r="25" spans="1:8" x14ac:dyDescent="0.2">
      <c r="A25" s="10" t="s">
        <v>24</v>
      </c>
      <c r="B25" s="1">
        <v>206</v>
      </c>
      <c r="C25" s="23"/>
      <c r="D25" s="23"/>
      <c r="E25" s="23"/>
      <c r="F25" s="23"/>
      <c r="G25" s="23"/>
      <c r="H25" s="23"/>
    </row>
    <row r="26" spans="1:8" ht="15" customHeight="1" x14ac:dyDescent="0.2">
      <c r="A26" s="10" t="s">
        <v>25</v>
      </c>
      <c r="B26" s="1">
        <v>356</v>
      </c>
      <c r="C26" s="37"/>
      <c r="D26" s="37"/>
      <c r="E26" s="37"/>
      <c r="F26" s="37"/>
      <c r="G26" s="37"/>
      <c r="H26" s="37"/>
    </row>
    <row r="27" spans="1:8" x14ac:dyDescent="0.2">
      <c r="A27" s="10" t="s">
        <v>26</v>
      </c>
      <c r="B27" s="1">
        <v>357</v>
      </c>
      <c r="C27" s="37"/>
      <c r="D27" s="37"/>
      <c r="E27" s="37"/>
      <c r="F27" s="37"/>
      <c r="G27" s="37"/>
      <c r="H27" s="37"/>
    </row>
    <row r="28" spans="1:8" x14ac:dyDescent="0.2">
      <c r="A28" s="10" t="s">
        <v>27</v>
      </c>
      <c r="B28" s="1">
        <v>265</v>
      </c>
      <c r="C28" s="37"/>
      <c r="D28" s="37"/>
      <c r="E28" s="37"/>
      <c r="F28" s="37"/>
      <c r="G28" s="37"/>
      <c r="H28" s="37"/>
    </row>
    <row r="29" spans="1:8" x14ac:dyDescent="0.2">
      <c r="A29" s="10" t="s">
        <v>28</v>
      </c>
      <c r="B29" s="1">
        <v>282</v>
      </c>
      <c r="C29" s="23"/>
      <c r="D29" s="23"/>
      <c r="E29" s="23"/>
      <c r="F29" s="23"/>
      <c r="G29" s="23"/>
      <c r="H29" s="23"/>
    </row>
    <row r="30" spans="1:8" x14ac:dyDescent="0.2">
      <c r="A30" s="10" t="s">
        <v>29</v>
      </c>
      <c r="B30" s="1">
        <v>229</v>
      </c>
      <c r="C30" s="23"/>
      <c r="D30" s="23"/>
      <c r="E30" s="23"/>
      <c r="F30" s="23"/>
      <c r="G30" s="23"/>
      <c r="H30" s="23"/>
    </row>
    <row r="31" spans="1:8" x14ac:dyDescent="0.2">
      <c r="A31" s="10" t="s">
        <v>30</v>
      </c>
      <c r="B31" s="1">
        <v>264</v>
      </c>
      <c r="C31" s="23"/>
      <c r="D31" s="23"/>
      <c r="E31" s="23"/>
      <c r="F31" s="23"/>
      <c r="G31" s="23"/>
      <c r="H31" s="23"/>
    </row>
    <row r="32" spans="1:8" x14ac:dyDescent="0.2">
      <c r="A32" s="10" t="s">
        <v>31</v>
      </c>
      <c r="B32" s="1">
        <v>204</v>
      </c>
      <c r="C32" s="23"/>
      <c r="D32" s="23"/>
      <c r="E32" s="23"/>
      <c r="F32" s="23"/>
      <c r="G32" s="23"/>
      <c r="H32" s="23"/>
    </row>
    <row r="33" spans="1:8" x14ac:dyDescent="0.2">
      <c r="A33" s="10" t="s">
        <v>32</v>
      </c>
      <c r="B33" s="1">
        <v>275</v>
      </c>
      <c r="C33" s="23"/>
      <c r="D33" s="23"/>
      <c r="E33" s="23"/>
      <c r="F33" s="23"/>
      <c r="G33" s="23"/>
      <c r="H33" s="23"/>
    </row>
    <row r="34" spans="1:8" x14ac:dyDescent="0.2">
      <c r="A34" s="10" t="s">
        <v>33</v>
      </c>
      <c r="B34" s="1">
        <v>234</v>
      </c>
      <c r="C34" s="23"/>
      <c r="D34" s="23"/>
      <c r="E34" s="23"/>
      <c r="F34" s="23"/>
      <c r="G34" s="23"/>
      <c r="H34" s="23"/>
    </row>
    <row r="35" spans="1:8" x14ac:dyDescent="0.2">
      <c r="A35" s="10" t="s">
        <v>34</v>
      </c>
      <c r="B35" s="1">
        <v>263</v>
      </c>
      <c r="C35" s="23"/>
      <c r="D35" s="23"/>
      <c r="E35" s="23"/>
      <c r="F35" s="23"/>
      <c r="G35" s="23"/>
      <c r="H35" s="23"/>
    </row>
    <row r="36" spans="1:8" x14ac:dyDescent="0.2">
      <c r="A36" s="10" t="s">
        <v>35</v>
      </c>
      <c r="B36" s="1">
        <v>293</v>
      </c>
      <c r="C36" s="23"/>
      <c r="D36" s="23"/>
      <c r="E36" s="23"/>
      <c r="F36" s="23"/>
      <c r="G36" s="23"/>
      <c r="H36" s="23"/>
    </row>
    <row r="37" spans="1:8" ht="15" customHeight="1" x14ac:dyDescent="0.2">
      <c r="A37" s="10" t="s">
        <v>36</v>
      </c>
      <c r="B37" s="1">
        <v>276</v>
      </c>
      <c r="C37" s="97" t="s">
        <v>80</v>
      </c>
      <c r="D37" s="97"/>
      <c r="E37" s="97"/>
      <c r="F37" s="97"/>
      <c r="G37" s="97"/>
      <c r="H37" s="97"/>
    </row>
    <row r="38" spans="1:8" x14ac:dyDescent="0.2">
      <c r="A38" s="10" t="s">
        <v>37</v>
      </c>
      <c r="B38" s="1">
        <v>350</v>
      </c>
      <c r="C38" s="97"/>
      <c r="D38" s="97"/>
      <c r="E38" s="97"/>
      <c r="F38" s="97"/>
      <c r="G38" s="97"/>
      <c r="H38" s="97"/>
    </row>
    <row r="39" spans="1:8" x14ac:dyDescent="0.2">
      <c r="A39" s="10" t="s">
        <v>38</v>
      </c>
      <c r="B39" s="1">
        <v>334</v>
      </c>
      <c r="C39" s="97"/>
      <c r="D39" s="97"/>
      <c r="E39" s="97"/>
      <c r="F39" s="97"/>
      <c r="G39" s="97"/>
      <c r="H39" s="97"/>
    </row>
    <row r="40" spans="1:8" x14ac:dyDescent="0.2">
      <c r="A40" s="10" t="s">
        <v>61</v>
      </c>
      <c r="B40" s="1">
        <v>8314</v>
      </c>
      <c r="C40" s="97"/>
      <c r="D40" s="97"/>
      <c r="E40" s="97"/>
      <c r="F40" s="97"/>
      <c r="G40" s="97"/>
      <c r="H40" s="97"/>
    </row>
  </sheetData>
  <mergeCells count="2">
    <mergeCell ref="A1:H1"/>
    <mergeCell ref="C37:H40"/>
  </mergeCells>
  <pageMargins left="0.7" right="0.7" top="0.75" bottom="0.75" header="0.3" footer="0.3"/>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F983D-E779-E94D-A33F-F04ED00AFE35}">
  <dimension ref="A1:G14"/>
  <sheetViews>
    <sheetView showGridLines="0" zoomScale="158" workbookViewId="0">
      <selection sqref="A1:G1"/>
    </sheetView>
  </sheetViews>
  <sheetFormatPr baseColWidth="10" defaultRowHeight="15" x14ac:dyDescent="0.2"/>
  <cols>
    <col min="1" max="1" width="10" bestFit="1" customWidth="1"/>
    <col min="2" max="2" width="27.83203125" bestFit="1" customWidth="1"/>
  </cols>
  <sheetData>
    <row r="1" spans="1:7" ht="23" x14ac:dyDescent="0.25">
      <c r="A1" s="96" t="s">
        <v>82</v>
      </c>
      <c r="B1" s="96"/>
      <c r="C1" s="96"/>
      <c r="D1" s="96"/>
      <c r="E1" s="96"/>
      <c r="F1" s="96"/>
      <c r="G1" s="96"/>
    </row>
    <row r="2" spans="1:7" x14ac:dyDescent="0.2">
      <c r="A2" s="23"/>
      <c r="B2" s="23"/>
      <c r="C2" s="23"/>
      <c r="D2" s="23"/>
      <c r="E2" s="23"/>
      <c r="F2" s="23"/>
      <c r="G2" s="23"/>
    </row>
    <row r="3" spans="1:7" x14ac:dyDescent="0.2">
      <c r="A3" s="38" t="s">
        <v>2</v>
      </c>
      <c r="B3" s="13" t="s">
        <v>81</v>
      </c>
      <c r="C3" s="23"/>
      <c r="D3" s="23"/>
      <c r="E3" s="23"/>
      <c r="F3" s="23"/>
      <c r="G3" s="23"/>
    </row>
    <row r="4" spans="1:7" x14ac:dyDescent="0.2">
      <c r="A4" s="13" t="s">
        <v>42</v>
      </c>
      <c r="B4" s="39">
        <v>84.103777777777793</v>
      </c>
      <c r="C4" s="23"/>
      <c r="D4" s="23"/>
      <c r="E4" s="23"/>
      <c r="F4" s="23"/>
      <c r="G4" s="23"/>
    </row>
    <row r="5" spans="1:7" x14ac:dyDescent="0.2">
      <c r="A5" s="13" t="s">
        <v>43</v>
      </c>
      <c r="B5" s="39">
        <v>84.346333333333348</v>
      </c>
      <c r="C5" s="23"/>
      <c r="D5" s="23"/>
      <c r="E5" s="23"/>
      <c r="F5" s="23"/>
      <c r="G5" s="23"/>
    </row>
    <row r="6" spans="1:7" x14ac:dyDescent="0.2">
      <c r="A6" s="13" t="s">
        <v>44</v>
      </c>
      <c r="B6" s="39">
        <v>83.481999999999985</v>
      </c>
      <c r="C6" s="23"/>
      <c r="D6" s="23"/>
      <c r="E6" s="23"/>
      <c r="F6" s="23"/>
      <c r="G6" s="23"/>
    </row>
    <row r="7" spans="1:7" x14ac:dyDescent="0.2">
      <c r="A7" s="13" t="s">
        <v>61</v>
      </c>
      <c r="B7" s="13">
        <v>83.977370370370323</v>
      </c>
      <c r="C7" s="23"/>
      <c r="D7" s="23"/>
      <c r="E7" s="23"/>
      <c r="F7" s="23"/>
      <c r="G7" s="23"/>
    </row>
    <row r="8" spans="1:7" ht="15" customHeight="1" x14ac:dyDescent="0.2">
      <c r="A8" s="36"/>
      <c r="B8" s="36"/>
      <c r="C8" s="23"/>
      <c r="D8" s="23"/>
      <c r="E8" s="23"/>
      <c r="F8" s="23"/>
      <c r="G8" s="23"/>
    </row>
    <row r="9" spans="1:7" ht="15" customHeight="1" x14ac:dyDescent="0.2">
      <c r="A9" s="101" t="s">
        <v>83</v>
      </c>
      <c r="B9" s="101"/>
      <c r="C9" s="23"/>
      <c r="D9" s="23"/>
      <c r="E9" s="23"/>
      <c r="F9" s="23"/>
      <c r="G9" s="23"/>
    </row>
    <row r="10" spans="1:7" x14ac:dyDescent="0.2">
      <c r="A10" s="101"/>
      <c r="B10" s="101"/>
      <c r="C10" s="23"/>
      <c r="D10" s="23"/>
      <c r="E10" s="23"/>
      <c r="F10" s="23"/>
      <c r="G10" s="23"/>
    </row>
    <row r="11" spans="1:7" x14ac:dyDescent="0.2">
      <c r="A11" s="101"/>
      <c r="B11" s="101"/>
      <c r="C11" s="23"/>
      <c r="D11" s="23"/>
      <c r="E11" s="23"/>
      <c r="F11" s="23"/>
      <c r="G11" s="23"/>
    </row>
    <row r="12" spans="1:7" x14ac:dyDescent="0.2">
      <c r="A12" s="101"/>
      <c r="B12" s="101"/>
      <c r="C12" s="23"/>
      <c r="D12" s="23"/>
      <c r="E12" s="23"/>
      <c r="F12" s="23"/>
      <c r="G12" s="23"/>
    </row>
    <row r="13" spans="1:7" x14ac:dyDescent="0.2">
      <c r="A13" s="101"/>
      <c r="B13" s="101"/>
      <c r="C13" s="23"/>
      <c r="D13" s="23"/>
      <c r="E13" s="23"/>
      <c r="F13" s="23"/>
      <c r="G13" s="23"/>
    </row>
    <row r="14" spans="1:7" x14ac:dyDescent="0.2">
      <c r="A14" s="101"/>
      <c r="B14" s="101"/>
      <c r="C14" s="23"/>
      <c r="D14" s="23"/>
      <c r="E14" s="23"/>
      <c r="F14" s="23"/>
      <c r="G14" s="23"/>
    </row>
  </sheetData>
  <mergeCells count="2">
    <mergeCell ref="A9:B14"/>
    <mergeCell ref="A1:G1"/>
  </mergeCell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D865B-9CD3-464E-9492-013ECF45D660}">
  <dimension ref="A1:J9"/>
  <sheetViews>
    <sheetView showGridLines="0" workbookViewId="0">
      <selection activeCell="H31" sqref="H31"/>
    </sheetView>
  </sheetViews>
  <sheetFormatPr baseColWidth="10" defaultRowHeight="15" x14ac:dyDescent="0.2"/>
  <cols>
    <col min="1" max="1" width="14.33203125" bestFit="1" customWidth="1"/>
    <col min="2" max="2" width="12.5" bestFit="1" customWidth="1"/>
    <col min="3" max="3" width="19.1640625" bestFit="1" customWidth="1"/>
    <col min="8" max="8" width="17" bestFit="1" customWidth="1"/>
  </cols>
  <sheetData>
    <row r="1" spans="1:10" ht="35" customHeight="1" x14ac:dyDescent="0.2">
      <c r="A1" s="106" t="s">
        <v>147</v>
      </c>
      <c r="B1" s="106"/>
      <c r="C1" s="106"/>
      <c r="D1" s="106"/>
      <c r="E1" s="106"/>
      <c r="F1" s="106"/>
      <c r="G1" s="106"/>
      <c r="H1" s="106"/>
      <c r="I1" s="106"/>
    </row>
    <row r="2" spans="1:10" ht="20" customHeight="1" x14ac:dyDescent="0.2">
      <c r="A2" s="94"/>
      <c r="B2" s="94"/>
      <c r="C2" s="94"/>
      <c r="D2" s="94"/>
      <c r="E2" s="94"/>
      <c r="F2" s="94"/>
      <c r="G2" s="94"/>
      <c r="H2" s="94"/>
      <c r="I2" s="94"/>
    </row>
    <row r="3" spans="1:10" ht="16" x14ac:dyDescent="0.2">
      <c r="A3" s="23"/>
      <c r="B3" s="23"/>
      <c r="C3" s="23"/>
      <c r="D3" s="23"/>
      <c r="E3" s="23"/>
      <c r="F3" s="107" t="s">
        <v>148</v>
      </c>
      <c r="G3" s="107"/>
      <c r="H3" s="107"/>
      <c r="I3" s="107"/>
    </row>
    <row r="4" spans="1:10" x14ac:dyDescent="0.2">
      <c r="A4" s="11" t="s">
        <v>3</v>
      </c>
      <c r="B4" s="12" t="s">
        <v>88</v>
      </c>
      <c r="C4" s="12" t="s">
        <v>87</v>
      </c>
      <c r="D4" s="23"/>
      <c r="E4" s="23"/>
      <c r="F4" s="12" t="s">
        <v>70</v>
      </c>
      <c r="G4" s="12" t="s">
        <v>67</v>
      </c>
      <c r="H4" s="12" t="s">
        <v>89</v>
      </c>
      <c r="I4" s="12" t="s">
        <v>59</v>
      </c>
      <c r="J4" s="40"/>
    </row>
    <row r="5" spans="1:10" x14ac:dyDescent="0.2">
      <c r="A5" s="13" t="s">
        <v>46</v>
      </c>
      <c r="B5" s="28">
        <v>657</v>
      </c>
      <c r="C5" s="28">
        <v>29460</v>
      </c>
      <c r="D5" s="23"/>
      <c r="E5" s="23"/>
      <c r="F5" s="12" t="s">
        <v>46</v>
      </c>
      <c r="G5" s="12">
        <f>GETPIVOTDATA("Sum of Defects",$A$5,"Product_type",A5)</f>
        <v>657</v>
      </c>
      <c r="H5" s="12">
        <f>GETPIVOTDATA("Sum of Units_Produced",$A$5,"Product_Type",A5)</f>
        <v>29460</v>
      </c>
      <c r="I5" s="91">
        <f>G5/H5</f>
        <v>2.230142566191446E-2</v>
      </c>
    </row>
    <row r="6" spans="1:10" x14ac:dyDescent="0.2">
      <c r="A6" s="13" t="s">
        <v>47</v>
      </c>
      <c r="B6" s="28">
        <v>796</v>
      </c>
      <c r="C6" s="28">
        <v>31232</v>
      </c>
      <c r="D6" s="23"/>
      <c r="E6" s="23"/>
      <c r="F6" s="12" t="s">
        <v>47</v>
      </c>
      <c r="G6" s="12">
        <f>GETPIVOTDATA("Sum of Defects",$A$5,"Product_type",A6)</f>
        <v>796</v>
      </c>
      <c r="H6" s="12">
        <f>GETPIVOTDATA("Sum of Units_Produced",$A$5,"Product_Type",A6)</f>
        <v>31232</v>
      </c>
      <c r="I6" s="91">
        <f>G6/H6</f>
        <v>2.5486680327868851E-2</v>
      </c>
    </row>
    <row r="7" spans="1:10" x14ac:dyDescent="0.2">
      <c r="A7" s="13" t="s">
        <v>45</v>
      </c>
      <c r="B7" s="28">
        <v>871</v>
      </c>
      <c r="C7" s="28">
        <v>33403</v>
      </c>
      <c r="D7" s="23"/>
      <c r="E7" s="23"/>
      <c r="F7" s="12" t="s">
        <v>45</v>
      </c>
      <c r="G7" s="12">
        <f>GETPIVOTDATA("Sum of Defects",$A$5,"Product_type",A7)</f>
        <v>871</v>
      </c>
      <c r="H7" s="12">
        <f>GETPIVOTDATA("Sum of Units_Produced",$A$5,"Product_Type",A7)</f>
        <v>33403</v>
      </c>
      <c r="I7" s="91">
        <f>G7/H7</f>
        <v>2.6075502200401161E-2</v>
      </c>
    </row>
    <row r="8" spans="1:10" x14ac:dyDescent="0.2">
      <c r="A8" s="13" t="s">
        <v>61</v>
      </c>
      <c r="B8" s="28">
        <v>2324</v>
      </c>
      <c r="C8" s="28">
        <v>94095</v>
      </c>
      <c r="D8" s="23"/>
      <c r="E8" s="23"/>
      <c r="F8" s="23"/>
      <c r="G8" s="23"/>
      <c r="H8" s="23"/>
      <c r="I8" s="23"/>
    </row>
    <row r="9" spans="1:10" x14ac:dyDescent="0.2">
      <c r="A9" s="23"/>
      <c r="B9" s="23"/>
      <c r="C9" s="23"/>
      <c r="D9" s="23"/>
      <c r="E9" s="23"/>
      <c r="F9" s="23"/>
      <c r="G9" s="23"/>
      <c r="H9" s="23"/>
      <c r="I9" s="95"/>
      <c r="J9" s="40"/>
    </row>
  </sheetData>
  <mergeCells count="2">
    <mergeCell ref="A1:I1"/>
    <mergeCell ref="F3:I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D76AB-3C44-5945-91A9-A0937487BE24}">
  <dimension ref="A1:B5"/>
  <sheetViews>
    <sheetView showGridLines="0" workbookViewId="0">
      <selection activeCell="G10" sqref="G10"/>
    </sheetView>
  </sheetViews>
  <sheetFormatPr baseColWidth="10" defaultRowHeight="15" x14ac:dyDescent="0.2"/>
  <cols>
    <col min="1" max="1" width="10" bestFit="1" customWidth="1"/>
    <col min="2" max="2" width="27.83203125" bestFit="1" customWidth="1"/>
  </cols>
  <sheetData>
    <row r="1" spans="1:2" x14ac:dyDescent="0.2">
      <c r="A1" s="11" t="s">
        <v>2</v>
      </c>
      <c r="B1" s="12" t="s">
        <v>81</v>
      </c>
    </row>
    <row r="2" spans="1:2" x14ac:dyDescent="0.2">
      <c r="A2" s="13" t="s">
        <v>42</v>
      </c>
      <c r="B2" s="46">
        <v>84.103777777777793</v>
      </c>
    </row>
    <row r="3" spans="1:2" x14ac:dyDescent="0.2">
      <c r="A3" s="13" t="s">
        <v>43</v>
      </c>
      <c r="B3" s="46">
        <v>84.346333333333348</v>
      </c>
    </row>
    <row r="4" spans="1:2" x14ac:dyDescent="0.2">
      <c r="A4" s="13" t="s">
        <v>44</v>
      </c>
      <c r="B4" s="46">
        <v>83.481999999999985</v>
      </c>
    </row>
    <row r="5" spans="1:2" x14ac:dyDescent="0.2">
      <c r="A5" s="13" t="s">
        <v>61</v>
      </c>
      <c r="B5" s="46">
        <v>83.977370370370323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1F526-83C9-6B48-BB37-A0EB0998DD5A}">
  <dimension ref="A1:B4"/>
  <sheetViews>
    <sheetView workbookViewId="0">
      <selection activeCell="B4" sqref="B4"/>
    </sheetView>
  </sheetViews>
  <sheetFormatPr baseColWidth="10" defaultRowHeight="15" x14ac:dyDescent="0.2"/>
  <cols>
    <col min="1" max="1" width="12.1640625" bestFit="1" customWidth="1"/>
  </cols>
  <sheetData>
    <row r="1" spans="1:2" x14ac:dyDescent="0.2">
      <c r="A1" t="s">
        <v>84</v>
      </c>
      <c r="B1">
        <f>AVERAGE(tblProduction[Downtime_Min])</f>
        <v>30.792592592592591</v>
      </c>
    </row>
    <row r="2" spans="1:2" x14ac:dyDescent="0.2">
      <c r="A2" t="s">
        <v>63</v>
      </c>
      <c r="B2">
        <f>_xlfn.STDEV.P(tblProduction[Downtime_Min])</f>
        <v>16.847725990656468</v>
      </c>
    </row>
    <row r="3" spans="1:2" x14ac:dyDescent="0.2">
      <c r="A3" t="s">
        <v>85</v>
      </c>
      <c r="B3">
        <f>_xlfn.PERCENTILE.INC(tblProduction[Downtime_Min], 0.25)</f>
        <v>18</v>
      </c>
    </row>
    <row r="4" spans="1:2" x14ac:dyDescent="0.2">
      <c r="A4" t="s">
        <v>86</v>
      </c>
      <c r="B4">
        <f>_xlfn.PERCENTILE.INC(tblProduction[Downtime_Min], 0.75)</f>
        <v>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C77FE-6556-3D4E-92E1-20AFFE17511B}">
  <dimension ref="A1:E22"/>
  <sheetViews>
    <sheetView showGridLines="0" workbookViewId="0">
      <selection activeCell="E21" sqref="A21:E21"/>
    </sheetView>
  </sheetViews>
  <sheetFormatPr baseColWidth="10" defaultRowHeight="15" x14ac:dyDescent="0.2"/>
  <cols>
    <col min="1" max="1" width="10" bestFit="1" customWidth="1"/>
    <col min="2" max="2" width="19.1640625" bestFit="1" customWidth="1"/>
    <col min="3" max="3" width="21.1640625" bestFit="1" customWidth="1"/>
    <col min="4" max="4" width="27.83203125" customWidth="1"/>
    <col min="5" max="5" width="23.6640625" bestFit="1" customWidth="1"/>
    <col min="6" max="6" width="22.33203125" bestFit="1" customWidth="1"/>
    <col min="7" max="7" width="17.1640625" bestFit="1" customWidth="1"/>
  </cols>
  <sheetData>
    <row r="1" spans="1:5" ht="30" customHeight="1" x14ac:dyDescent="0.2">
      <c r="A1" s="106" t="s">
        <v>149</v>
      </c>
      <c r="B1" s="106"/>
      <c r="C1" s="106"/>
      <c r="D1" s="106"/>
      <c r="E1" s="106"/>
    </row>
    <row r="2" spans="1:5" x14ac:dyDescent="0.2">
      <c r="A2" s="92"/>
      <c r="B2" s="92"/>
      <c r="C2" s="92"/>
      <c r="D2" s="92"/>
      <c r="E2" s="92"/>
    </row>
    <row r="3" spans="1:5" x14ac:dyDescent="0.2">
      <c r="A3" s="11" t="s">
        <v>1</v>
      </c>
      <c r="B3" s="12" t="s">
        <v>87</v>
      </c>
      <c r="C3" s="12" t="s">
        <v>76</v>
      </c>
      <c r="D3" s="12" t="s">
        <v>81</v>
      </c>
      <c r="E3" s="23"/>
    </row>
    <row r="4" spans="1:5" x14ac:dyDescent="0.2">
      <c r="A4" s="13" t="s">
        <v>40</v>
      </c>
      <c r="B4" s="46">
        <v>31277</v>
      </c>
      <c r="C4" s="46">
        <v>2934</v>
      </c>
      <c r="D4" s="46">
        <v>85.266444444444446</v>
      </c>
      <c r="E4" s="93"/>
    </row>
    <row r="5" spans="1:5" x14ac:dyDescent="0.2">
      <c r="A5" s="13" t="s">
        <v>39</v>
      </c>
      <c r="B5" s="46">
        <v>31622</v>
      </c>
      <c r="C5" s="46">
        <v>2714</v>
      </c>
      <c r="D5" s="46">
        <v>83.156777777777776</v>
      </c>
      <c r="E5" s="93"/>
    </row>
    <row r="6" spans="1:5" x14ac:dyDescent="0.2">
      <c r="A6" s="13" t="s">
        <v>41</v>
      </c>
      <c r="B6" s="46">
        <v>31196</v>
      </c>
      <c r="C6" s="46">
        <v>2666</v>
      </c>
      <c r="D6" s="46">
        <v>83.508888888888904</v>
      </c>
      <c r="E6" s="93"/>
    </row>
    <row r="7" spans="1:5" x14ac:dyDescent="0.2">
      <c r="A7" s="13" t="s">
        <v>61</v>
      </c>
      <c r="B7" s="28">
        <v>94095</v>
      </c>
      <c r="C7" s="28">
        <v>8314</v>
      </c>
      <c r="D7" s="12">
        <v>83.977370370370352</v>
      </c>
      <c r="E7" s="23"/>
    </row>
    <row r="8" spans="1:5" x14ac:dyDescent="0.2">
      <c r="A8" s="25"/>
      <c r="B8" s="26"/>
      <c r="C8" s="26"/>
      <c r="D8" s="23"/>
      <c r="E8" s="23"/>
    </row>
    <row r="9" spans="1:5" x14ac:dyDescent="0.2">
      <c r="A9" s="3" t="s">
        <v>1</v>
      </c>
      <c r="B9" s="3" t="s">
        <v>95</v>
      </c>
      <c r="C9" s="3" t="s">
        <v>94</v>
      </c>
      <c r="D9" s="3" t="s">
        <v>91</v>
      </c>
      <c r="E9" s="3" t="s">
        <v>93</v>
      </c>
    </row>
    <row r="10" spans="1:5" x14ac:dyDescent="0.2">
      <c r="A10" s="12" t="s">
        <v>39</v>
      </c>
      <c r="B10" s="12">
        <f>GETPIVOTDATA("Sum of Units_Produced",$A$4,"Shift","Morning")</f>
        <v>31622</v>
      </c>
      <c r="C10" s="12">
        <f>GETPIVOTDATA("Sum of Downtime_Min",$A$4,"Shift","Morning")</f>
        <v>2714</v>
      </c>
      <c r="D10" s="46">
        <f>GETPIVOTDATA("Average of Machine_Efficiency (%)",$A$4,"Shift","Morning")</f>
        <v>83.156777777777776</v>
      </c>
      <c r="E10" s="12">
        <f>C10/B10</f>
        <v>8.582632344570236E-2</v>
      </c>
    </row>
    <row r="11" spans="1:5" x14ac:dyDescent="0.2">
      <c r="A11" s="12" t="s">
        <v>40</v>
      </c>
      <c r="B11" s="12">
        <f>GETPIVOTDATA("Sum of Units_Produced",$A$4,"Shift","Afternoon")</f>
        <v>31277</v>
      </c>
      <c r="C11" s="12">
        <f>GETPIVOTDATA("Sum of Downtime_Min",$A$4,"Shift","Afternoon")</f>
        <v>2934</v>
      </c>
      <c r="D11" s="46">
        <f>GETPIVOTDATA("Average of Machine_Efficiency (%)",$A$4,"Shift","Afternoon")</f>
        <v>85.266444444444446</v>
      </c>
      <c r="E11" s="12">
        <f>C11/B11</f>
        <v>9.3806950794513538E-2</v>
      </c>
    </row>
    <row r="12" spans="1:5" x14ac:dyDescent="0.2">
      <c r="A12" s="12" t="s">
        <v>41</v>
      </c>
      <c r="B12" s="12">
        <f>GETPIVOTDATA("Sum of Units_Produced",$A$4,"Shift","Night")</f>
        <v>31196</v>
      </c>
      <c r="C12" s="12">
        <f>GETPIVOTDATA("Sum of Downtime_Min",$A$4,"Shift","Night")</f>
        <v>2666</v>
      </c>
      <c r="D12" s="46">
        <f>GETPIVOTDATA("Average of Machine_Efficiency (%)",$A$4,"Shift","Night")</f>
        <v>83.508888888888904</v>
      </c>
      <c r="E12" s="12">
        <f>C12/B12</f>
        <v>8.5459674317220152E-2</v>
      </c>
    </row>
    <row r="13" spans="1:5" x14ac:dyDescent="0.2">
      <c r="A13" s="25"/>
      <c r="B13" s="26"/>
      <c r="C13" s="26"/>
      <c r="D13" s="23"/>
      <c r="E13" s="23"/>
    </row>
    <row r="14" spans="1:5" x14ac:dyDescent="0.2">
      <c r="A14" s="23"/>
      <c r="B14" s="23"/>
      <c r="C14" s="23"/>
      <c r="D14" s="23"/>
      <c r="E14" s="23"/>
    </row>
    <row r="15" spans="1:5" x14ac:dyDescent="0.2">
      <c r="A15" s="108" t="s">
        <v>98</v>
      </c>
      <c r="B15" s="108"/>
      <c r="C15" s="108"/>
      <c r="D15" s="108"/>
      <c r="E15" s="108"/>
    </row>
    <row r="16" spans="1:5" x14ac:dyDescent="0.2">
      <c r="A16" s="45" t="s">
        <v>1</v>
      </c>
      <c r="B16" s="20" t="s">
        <v>90</v>
      </c>
      <c r="C16" s="20" t="s">
        <v>91</v>
      </c>
      <c r="D16" s="20" t="s">
        <v>96</v>
      </c>
      <c r="E16" s="20" t="s">
        <v>97</v>
      </c>
    </row>
    <row r="17" spans="1:5" x14ac:dyDescent="0.2">
      <c r="A17" s="45" t="s">
        <v>39</v>
      </c>
      <c r="B17" s="27">
        <v>4660.5747973470889</v>
      </c>
      <c r="C17" s="31">
        <f t="shared" ref="C17:D19" si="0">D10</f>
        <v>83.156777777777776</v>
      </c>
      <c r="D17" s="20">
        <f t="shared" si="0"/>
        <v>8.582632344570236E-2</v>
      </c>
      <c r="E17" s="20">
        <f>B17*D17</f>
        <v>400</v>
      </c>
    </row>
    <row r="18" spans="1:5" x14ac:dyDescent="0.2">
      <c r="A18" s="45" t="s">
        <v>40</v>
      </c>
      <c r="B18" s="27">
        <v>4264.0763462849354</v>
      </c>
      <c r="C18" s="31">
        <f t="shared" si="0"/>
        <v>85.266444444444446</v>
      </c>
      <c r="D18" s="20">
        <f t="shared" si="0"/>
        <v>9.3806950794513538E-2</v>
      </c>
      <c r="E18" s="20">
        <f>B18*D18</f>
        <v>400</v>
      </c>
    </row>
    <row r="19" spans="1:5" x14ac:dyDescent="0.2">
      <c r="A19" s="45" t="s">
        <v>41</v>
      </c>
      <c r="B19" s="27">
        <v>4680.5701425356337</v>
      </c>
      <c r="C19" s="31">
        <f t="shared" si="0"/>
        <v>83.508888888888904</v>
      </c>
      <c r="D19" s="20">
        <f t="shared" si="0"/>
        <v>8.5459674317220152E-2</v>
      </c>
      <c r="E19" s="20">
        <f>B19*D19</f>
        <v>399.99999999999994</v>
      </c>
    </row>
    <row r="20" spans="1:5" x14ac:dyDescent="0.2">
      <c r="A20" s="45" t="s">
        <v>92</v>
      </c>
      <c r="B20" s="27">
        <f>SUM(B17:B19)</f>
        <v>13605.22128616766</v>
      </c>
      <c r="C20" s="20"/>
      <c r="D20" s="20"/>
      <c r="E20" s="20">
        <f>SUM(E17:E19)</f>
        <v>1200</v>
      </c>
    </row>
    <row r="21" spans="1:5" x14ac:dyDescent="0.2">
      <c r="A21" s="23"/>
      <c r="B21" s="23"/>
      <c r="C21" s="23"/>
      <c r="D21" s="23"/>
      <c r="E21" s="23"/>
    </row>
    <row r="22" spans="1:5" ht="54" customHeight="1" x14ac:dyDescent="0.2">
      <c r="A22" s="101" t="s">
        <v>99</v>
      </c>
      <c r="B22" s="101"/>
      <c r="C22" s="101"/>
      <c r="D22" s="101"/>
      <c r="E22" s="101"/>
    </row>
  </sheetData>
  <mergeCells count="3">
    <mergeCell ref="A15:E15"/>
    <mergeCell ref="A22:E22"/>
    <mergeCell ref="A1:E1"/>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4ED75-B98D-3044-8F4C-D42122662CD0}">
  <dimension ref="A1:L16"/>
  <sheetViews>
    <sheetView showGridLines="0" zoomScale="125" workbookViewId="0">
      <selection activeCell="I23" sqref="I23"/>
    </sheetView>
  </sheetViews>
  <sheetFormatPr baseColWidth="10" defaultRowHeight="15" x14ac:dyDescent="0.2"/>
  <cols>
    <col min="1" max="1" width="13.1640625" bestFit="1" customWidth="1"/>
    <col min="2" max="2" width="14.83203125" bestFit="1" customWidth="1"/>
    <col min="3" max="4" width="4.1640625" bestFit="1" customWidth="1"/>
    <col min="5" max="5" width="10.33203125" bestFit="1" customWidth="1"/>
    <col min="6" max="6" width="12.5" bestFit="1" customWidth="1"/>
    <col min="7" max="7" width="17.6640625" bestFit="1" customWidth="1"/>
    <col min="8" max="8" width="12.6640625" customWidth="1"/>
    <col min="9" max="9" width="13.1640625" customWidth="1"/>
    <col min="12" max="12" width="15.1640625" bestFit="1" customWidth="1"/>
  </cols>
  <sheetData>
    <row r="1" spans="1:12" ht="29" customHeight="1" x14ac:dyDescent="0.2">
      <c r="A1" s="9" t="s">
        <v>88</v>
      </c>
      <c r="B1" s="9" t="s">
        <v>100</v>
      </c>
      <c r="F1" s="23"/>
      <c r="G1" s="109" t="s">
        <v>105</v>
      </c>
      <c r="H1" s="109"/>
      <c r="I1" s="109"/>
      <c r="J1" s="109"/>
      <c r="K1" s="109"/>
      <c r="L1" s="109"/>
    </row>
    <row r="2" spans="1:12" x14ac:dyDescent="0.2">
      <c r="A2" s="9" t="s">
        <v>7</v>
      </c>
      <c r="B2" t="s">
        <v>42</v>
      </c>
      <c r="C2" t="s">
        <v>43</v>
      </c>
      <c r="D2" t="s">
        <v>44</v>
      </c>
      <c r="E2" t="s">
        <v>61</v>
      </c>
      <c r="F2" s="23"/>
      <c r="G2" s="12" t="s">
        <v>7</v>
      </c>
      <c r="H2" s="12" t="s">
        <v>103</v>
      </c>
      <c r="I2" s="12" t="s">
        <v>102</v>
      </c>
      <c r="J2" s="12" t="s">
        <v>101</v>
      </c>
      <c r="K2" s="12" t="s">
        <v>67</v>
      </c>
      <c r="L2" s="12" t="s">
        <v>104</v>
      </c>
    </row>
    <row r="3" spans="1:12" x14ac:dyDescent="0.2">
      <c r="A3" s="10" t="s">
        <v>50</v>
      </c>
      <c r="B3" s="47">
        <v>63</v>
      </c>
      <c r="C3" s="47">
        <v>176</v>
      </c>
      <c r="D3" s="47">
        <v>85</v>
      </c>
      <c r="E3" s="1">
        <v>324</v>
      </c>
      <c r="F3" s="23"/>
      <c r="G3" s="12" t="s">
        <v>50</v>
      </c>
      <c r="H3" s="12">
        <v>1</v>
      </c>
      <c r="I3" s="12">
        <v>0</v>
      </c>
      <c r="J3" s="12">
        <v>0</v>
      </c>
      <c r="K3" s="12">
        <f>GETPIVOTDATA("Defects",$A$1,"Line_ID","L1","Operator_ID",A3)*H3+GETPIVOTDATA("Defects",$A$1,"Line_ID","L2","Operator_ID",A3)*I3+GETPIVOTDATA("Defects",$A$1,"Line_ID","L3","Operator_ID",A3)*J3</f>
        <v>63</v>
      </c>
      <c r="L3" s="12">
        <f>SUM(H3:J3)</f>
        <v>1</v>
      </c>
    </row>
    <row r="4" spans="1:12" x14ac:dyDescent="0.2">
      <c r="A4" s="10" t="s">
        <v>49</v>
      </c>
      <c r="B4" s="47">
        <v>60</v>
      </c>
      <c r="C4" s="47">
        <v>43</v>
      </c>
      <c r="D4" s="47">
        <v>117</v>
      </c>
      <c r="E4" s="1">
        <v>220</v>
      </c>
      <c r="F4" s="23"/>
      <c r="G4" s="12" t="s">
        <v>49</v>
      </c>
      <c r="H4" s="12">
        <v>0</v>
      </c>
      <c r="I4" s="12">
        <v>1</v>
      </c>
      <c r="J4" s="12">
        <v>0</v>
      </c>
      <c r="K4" s="12">
        <f t="shared" ref="K4:K12" si="0">GETPIVOTDATA("Defects",$A$1,"Line_ID","L1","Operator_ID",A4)*H4+GETPIVOTDATA("Defects",$A$1,"Line_ID","L2","Operator_ID",A4)*I4+GETPIVOTDATA("Defects",$A$1,"Line_ID","L3","Operator_ID",A4)*J4</f>
        <v>43</v>
      </c>
      <c r="L4" s="12">
        <f t="shared" ref="L4:L12" si="1">SUM(H4:J4)</f>
        <v>1</v>
      </c>
    </row>
    <row r="5" spans="1:12" x14ac:dyDescent="0.2">
      <c r="A5" s="10" t="s">
        <v>52</v>
      </c>
      <c r="B5" s="47">
        <v>59</v>
      </c>
      <c r="C5" s="47">
        <v>78</v>
      </c>
      <c r="D5" s="47">
        <v>87</v>
      </c>
      <c r="E5" s="1">
        <v>224</v>
      </c>
      <c r="F5" s="23"/>
      <c r="G5" s="12" t="s">
        <v>52</v>
      </c>
      <c r="H5" s="12">
        <v>1</v>
      </c>
      <c r="I5" s="12">
        <v>0</v>
      </c>
      <c r="J5" s="12">
        <v>0</v>
      </c>
      <c r="K5" s="12">
        <f t="shared" si="0"/>
        <v>59</v>
      </c>
      <c r="L5" s="12">
        <f t="shared" si="1"/>
        <v>1</v>
      </c>
    </row>
    <row r="6" spans="1:12" x14ac:dyDescent="0.2">
      <c r="A6" s="10" t="s">
        <v>48</v>
      </c>
      <c r="B6" s="47">
        <v>98</v>
      </c>
      <c r="C6" s="47">
        <v>55</v>
      </c>
      <c r="D6" s="47">
        <v>52</v>
      </c>
      <c r="E6" s="1">
        <v>205</v>
      </c>
      <c r="F6" s="23"/>
      <c r="G6" s="12" t="s">
        <v>48</v>
      </c>
      <c r="H6" s="12">
        <v>0</v>
      </c>
      <c r="I6" s="12">
        <v>0</v>
      </c>
      <c r="J6" s="12">
        <v>1</v>
      </c>
      <c r="K6" s="12">
        <f t="shared" si="0"/>
        <v>52</v>
      </c>
      <c r="L6" s="12">
        <f t="shared" si="1"/>
        <v>1</v>
      </c>
    </row>
    <row r="7" spans="1:12" x14ac:dyDescent="0.2">
      <c r="A7" s="10" t="s">
        <v>55</v>
      </c>
      <c r="B7" s="47">
        <v>50</v>
      </c>
      <c r="C7" s="47">
        <v>116</v>
      </c>
      <c r="D7" s="47">
        <v>75</v>
      </c>
      <c r="E7" s="1">
        <v>241</v>
      </c>
      <c r="F7" s="23"/>
      <c r="G7" s="12" t="s">
        <v>55</v>
      </c>
      <c r="H7" s="12">
        <v>1</v>
      </c>
      <c r="I7" s="12">
        <v>0</v>
      </c>
      <c r="J7" s="12">
        <v>0</v>
      </c>
      <c r="K7" s="12">
        <f t="shared" si="0"/>
        <v>50</v>
      </c>
      <c r="L7" s="12">
        <f t="shared" si="1"/>
        <v>1</v>
      </c>
    </row>
    <row r="8" spans="1:12" x14ac:dyDescent="0.2">
      <c r="A8" s="10" t="s">
        <v>56</v>
      </c>
      <c r="B8" s="47">
        <v>67</v>
      </c>
      <c r="C8" s="47">
        <v>23</v>
      </c>
      <c r="D8" s="47">
        <v>75</v>
      </c>
      <c r="E8" s="1">
        <v>165</v>
      </c>
      <c r="F8" s="23"/>
      <c r="G8" s="12" t="s">
        <v>56</v>
      </c>
      <c r="H8" s="12">
        <v>0</v>
      </c>
      <c r="I8" s="12">
        <v>1</v>
      </c>
      <c r="J8" s="12">
        <v>0</v>
      </c>
      <c r="K8" s="12">
        <f t="shared" si="0"/>
        <v>23</v>
      </c>
      <c r="L8" s="12">
        <f t="shared" si="1"/>
        <v>1</v>
      </c>
    </row>
    <row r="9" spans="1:12" x14ac:dyDescent="0.2">
      <c r="A9" s="10" t="s">
        <v>54</v>
      </c>
      <c r="B9" s="47">
        <v>69</v>
      </c>
      <c r="C9" s="47">
        <v>60</v>
      </c>
      <c r="D9" s="47">
        <v>87</v>
      </c>
      <c r="E9" s="1">
        <v>216</v>
      </c>
      <c r="F9" s="23"/>
      <c r="G9" s="12" t="s">
        <v>54</v>
      </c>
      <c r="H9" s="12">
        <v>0</v>
      </c>
      <c r="I9" s="12">
        <v>1</v>
      </c>
      <c r="J9" s="12">
        <v>0</v>
      </c>
      <c r="K9" s="12">
        <f t="shared" si="0"/>
        <v>60</v>
      </c>
      <c r="L9" s="12">
        <f t="shared" si="1"/>
        <v>1</v>
      </c>
    </row>
    <row r="10" spans="1:12" x14ac:dyDescent="0.2">
      <c r="A10" s="10" t="s">
        <v>51</v>
      </c>
      <c r="B10" s="47">
        <v>29</v>
      </c>
      <c r="C10" s="47">
        <v>49</v>
      </c>
      <c r="D10" s="47">
        <v>41</v>
      </c>
      <c r="E10" s="1">
        <v>119</v>
      </c>
      <c r="F10" s="23"/>
      <c r="G10" s="12" t="s">
        <v>51</v>
      </c>
      <c r="H10" s="12">
        <v>1</v>
      </c>
      <c r="I10" s="12">
        <v>0</v>
      </c>
      <c r="J10" s="12">
        <v>0</v>
      </c>
      <c r="K10" s="12">
        <f t="shared" si="0"/>
        <v>29</v>
      </c>
      <c r="L10" s="12">
        <f t="shared" si="1"/>
        <v>1</v>
      </c>
    </row>
    <row r="11" spans="1:12" x14ac:dyDescent="0.2">
      <c r="A11" s="10" t="s">
        <v>57</v>
      </c>
      <c r="B11" s="47">
        <v>79</v>
      </c>
      <c r="C11" s="47">
        <v>111</v>
      </c>
      <c r="D11" s="47">
        <v>82</v>
      </c>
      <c r="E11" s="1">
        <v>272</v>
      </c>
      <c r="F11" s="23"/>
      <c r="G11" s="12" t="s">
        <v>57</v>
      </c>
      <c r="H11" s="12">
        <v>1</v>
      </c>
      <c r="I11" s="12">
        <v>0</v>
      </c>
      <c r="J11" s="12">
        <v>0</v>
      </c>
      <c r="K11" s="12">
        <f t="shared" si="0"/>
        <v>79</v>
      </c>
      <c r="L11" s="12">
        <f t="shared" si="1"/>
        <v>1</v>
      </c>
    </row>
    <row r="12" spans="1:12" x14ac:dyDescent="0.2">
      <c r="A12" s="10" t="s">
        <v>53</v>
      </c>
      <c r="B12" s="47">
        <v>155</v>
      </c>
      <c r="C12" s="47">
        <v>83</v>
      </c>
      <c r="D12" s="47">
        <v>100</v>
      </c>
      <c r="E12" s="1">
        <v>338</v>
      </c>
      <c r="F12" s="23"/>
      <c r="G12" s="12" t="s">
        <v>53</v>
      </c>
      <c r="H12" s="12">
        <v>0</v>
      </c>
      <c r="I12" s="12">
        <v>1</v>
      </c>
      <c r="J12" s="12">
        <v>0</v>
      </c>
      <c r="K12" s="12">
        <f t="shared" si="0"/>
        <v>83</v>
      </c>
      <c r="L12" s="12">
        <f t="shared" si="1"/>
        <v>1</v>
      </c>
    </row>
    <row r="13" spans="1:12" x14ac:dyDescent="0.2">
      <c r="A13" s="10" t="s">
        <v>61</v>
      </c>
      <c r="B13" s="1">
        <v>729</v>
      </c>
      <c r="C13" s="1">
        <v>794</v>
      </c>
      <c r="D13" s="1">
        <v>801</v>
      </c>
      <c r="E13" s="1">
        <v>2324</v>
      </c>
      <c r="F13" s="23"/>
      <c r="G13" s="12" t="s">
        <v>92</v>
      </c>
      <c r="H13" s="12">
        <f>SUM(H3:H12)</f>
        <v>5</v>
      </c>
      <c r="I13" s="12">
        <f>SUM(I3:I12)</f>
        <v>4</v>
      </c>
      <c r="J13" s="12">
        <f>SUM(J3:J12)</f>
        <v>1</v>
      </c>
      <c r="K13" s="12">
        <f>SUM(K3:K12)</f>
        <v>541</v>
      </c>
      <c r="L13" s="12">
        <f>SUM(L3:L12)</f>
        <v>10</v>
      </c>
    </row>
    <row r="14" spans="1:12" x14ac:dyDescent="0.2">
      <c r="A14" s="23"/>
      <c r="B14" s="23"/>
      <c r="C14" s="23"/>
      <c r="D14" s="23"/>
      <c r="E14" s="23"/>
      <c r="F14" s="23"/>
      <c r="G14" s="23"/>
      <c r="H14" s="23"/>
      <c r="I14" s="23"/>
      <c r="J14" s="23"/>
      <c r="K14" s="23"/>
      <c r="L14" s="23"/>
    </row>
    <row r="15" spans="1:12" ht="16" x14ac:dyDescent="0.2">
      <c r="A15" s="110" t="s">
        <v>106</v>
      </c>
      <c r="B15" s="110"/>
      <c r="C15" s="110"/>
      <c r="D15" s="110"/>
      <c r="E15" s="110"/>
      <c r="F15" s="110"/>
      <c r="G15" s="110"/>
      <c r="H15" s="110"/>
      <c r="I15" s="110"/>
      <c r="J15" s="110"/>
      <c r="K15" s="110"/>
      <c r="L15" s="110"/>
    </row>
    <row r="16" spans="1:12" x14ac:dyDescent="0.2">
      <c r="A16" s="23"/>
      <c r="B16" s="23"/>
      <c r="C16" s="23"/>
      <c r="D16" s="23"/>
      <c r="E16" s="23"/>
      <c r="F16" s="23"/>
      <c r="G16" s="23"/>
      <c r="H16" s="23"/>
      <c r="I16" s="23"/>
      <c r="J16" s="23"/>
      <c r="K16" s="23"/>
      <c r="L16" s="23"/>
    </row>
  </sheetData>
  <mergeCells count="2">
    <mergeCell ref="G1:L1"/>
    <mergeCell ref="A15:L15"/>
  </mergeCells>
  <phoneticPr fontId="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763EE-F962-D041-A3AB-3F1DA924148E}">
  <dimension ref="A1:M41"/>
  <sheetViews>
    <sheetView showGridLines="0" zoomScale="59" workbookViewId="0">
      <selection sqref="A1:M41"/>
    </sheetView>
  </sheetViews>
  <sheetFormatPr baseColWidth="10" defaultRowHeight="19" x14ac:dyDescent="0.25"/>
  <cols>
    <col min="1" max="1" width="26" style="49" bestFit="1" customWidth="1"/>
    <col min="2" max="2" width="10.83203125" style="49" customWidth="1"/>
    <col min="3" max="3" width="29.33203125" style="49" bestFit="1" customWidth="1"/>
    <col min="4" max="4" width="10.83203125" style="49" customWidth="1"/>
    <col min="5" max="5" width="21.6640625" style="49" bestFit="1" customWidth="1"/>
    <col min="6" max="6" width="10.83203125" style="49" customWidth="1"/>
    <col min="7" max="7" width="29.83203125" style="49" bestFit="1" customWidth="1"/>
    <col min="8" max="8" width="10.83203125" style="49" customWidth="1"/>
    <col min="9" max="9" width="22.6640625" style="49" bestFit="1" customWidth="1"/>
    <col min="10" max="10" width="10.83203125" style="49" customWidth="1"/>
    <col min="11" max="11" width="24.83203125" style="49" bestFit="1" customWidth="1"/>
    <col min="12" max="12" width="10.83203125" style="49"/>
    <col min="13" max="13" width="27.83203125" style="49" bestFit="1" customWidth="1"/>
    <col min="14" max="16384" width="10.83203125" style="49"/>
  </cols>
  <sheetData>
    <row r="1" spans="1:13" ht="44" customHeight="1" x14ac:dyDescent="0.25">
      <c r="A1" s="112" t="s">
        <v>150</v>
      </c>
      <c r="B1" s="112"/>
      <c r="C1" s="112"/>
      <c r="D1" s="112"/>
      <c r="E1" s="112"/>
      <c r="F1" s="112"/>
      <c r="G1" s="112"/>
      <c r="H1" s="112"/>
      <c r="I1" s="112"/>
      <c r="J1" s="112"/>
      <c r="K1" s="112"/>
      <c r="L1" s="48"/>
      <c r="M1" s="48"/>
    </row>
    <row r="2" spans="1:13" ht="26" customHeight="1" x14ac:dyDescent="0.25">
      <c r="A2" s="111" t="s">
        <v>107</v>
      </c>
      <c r="B2" s="111"/>
      <c r="C2" s="111"/>
      <c r="D2" s="111"/>
      <c r="E2" s="111"/>
      <c r="F2" s="111"/>
      <c r="G2" s="111"/>
      <c r="H2" s="111"/>
      <c r="I2" s="111"/>
      <c r="J2" s="111"/>
      <c r="K2" s="111"/>
      <c r="L2" s="50"/>
      <c r="M2" s="50"/>
    </row>
    <row r="3" spans="1:13" ht="20" thickBot="1" x14ac:dyDescent="0.3">
      <c r="A3" s="70"/>
      <c r="B3" s="70"/>
      <c r="C3" s="70"/>
      <c r="D3" s="70"/>
      <c r="E3" s="70"/>
      <c r="F3" s="70"/>
      <c r="G3" s="70"/>
      <c r="H3" s="70"/>
      <c r="I3" s="70"/>
      <c r="J3" s="70"/>
      <c r="K3" s="70"/>
      <c r="L3" s="70"/>
      <c r="M3" s="70"/>
    </row>
    <row r="4" spans="1:13" x14ac:dyDescent="0.25">
      <c r="A4" s="58" t="s">
        <v>108</v>
      </c>
      <c r="B4" s="70"/>
      <c r="C4" s="57" t="s">
        <v>109</v>
      </c>
      <c r="D4" s="70"/>
      <c r="E4" s="57" t="s">
        <v>110</v>
      </c>
      <c r="F4" s="70"/>
      <c r="G4" s="57" t="s">
        <v>116</v>
      </c>
      <c r="H4" s="70"/>
      <c r="I4" s="57" t="s">
        <v>111</v>
      </c>
      <c r="J4" s="70"/>
      <c r="K4" s="56" t="s">
        <v>112</v>
      </c>
      <c r="L4" s="70"/>
      <c r="M4" s="57" t="s">
        <v>145</v>
      </c>
    </row>
    <row r="5" spans="1:13" x14ac:dyDescent="0.25">
      <c r="A5" s="73" t="str">
        <f>INDEX(Shift_Analysis!A5:A7, MATCH(MIN(GETPIVOTDATA("Units_Produced",Shift_Analysis!$A$4,"Shift","Afternoon"),GETPIVOTDATA("Units_Produced",Shift_Analysis!$A$4,"Shift","Morning"),GETPIVOTDATA("Units_Produced",Shift_Analysis!$A$4,"Shift","Night")),Shift_Analysis!B5:B7,0))</f>
        <v>Night</v>
      </c>
      <c r="B5" s="51"/>
      <c r="C5" s="75" t="str">
        <f>INDEX(Defect_Analysis!E4:E6, MATCH(MAX(Defect_Analysis!H4,Defect_Analysis!H5,Defect_Analysis!H6),Defect_Analysis!H4:H6,0))</f>
        <v>Product C</v>
      </c>
      <c r="D5" s="52"/>
      <c r="E5" s="77" t="str">
        <f xml:space="preserve"> INDEX(Defect_Analysis!A12:A21, MATCH(MAX(GETPIVOTDATA("Defects",Defect_Analysis!$A$11,"Operator_ID","O10"),GETPIVOTDATA("Defects",Defect_Analysis!$A$11,"Operator_ID","O01"),GETPIVOTDATA("Defects",Defect_Analysis!$A$11,"Operator_ID","O09"),GETPIVOTDATA("Defects",Defect_Analysis!$A$11,"Operator_ID","O05"),GETPIVOTDATA("Defects",Defect_Analysis!$A$11,"Operator_ID","O03"),GETPIVOTDATA("Defects",Defect_Analysis!$A$11,"Operator_ID","O02"),GETPIVOTDATA("Defects",Defect_Analysis!$A$11,"Operator_ID","O07"),GETPIVOTDATA("Defects",Defect_Analysis!$A$11,"Operator_ID","O04"),GETPIVOTDATA("Defects",Defect_Analysis!$A$11,"Operator_ID","O06"),GETPIVOTDATA("Defects",Defect_Analysis!$A$11,"Operator_ID","O08")),Defect_Analysis!B12:B21,0))</f>
        <v>O10</v>
      </c>
      <c r="F5" s="54"/>
      <c r="G5" s="77" t="str">
        <f>INDEX(Downtime_Analysis!D4:D6,MATCH(MAX(Downtime_Analysis!E4,Downtime_Analysis!E5,Downtime_Analysis!E6),Downtime_Analysis!E4:E6,0))</f>
        <v>L1</v>
      </c>
      <c r="H5" s="54"/>
      <c r="I5" s="77" t="str">
        <f>INDEX(Machine_Efficiency_Analysis!A4:A6,MATCH(MIN(GETPIVOTDATA("Machine_Efficiency (%)",Machine_Efficiency_Analysis!$A$3,"Line_ID","L1"),GETPIVOTDATA("Machine_Efficiency (%)",Machine_Efficiency_Analysis!$A$3,"Line_ID","L2"),GETPIVOTDATA("Machine_Efficiency (%)",Machine_Efficiency_Analysis!$A$3,"Line_ID","L3")),Machine_Efficiency_Analysis!B4:B6,0))</f>
        <v>L3</v>
      </c>
      <c r="J5" s="54"/>
      <c r="K5" s="113">
        <f>Solver_Operator!K13</f>
        <v>541</v>
      </c>
      <c r="L5" s="70"/>
      <c r="M5" s="77" t="s">
        <v>44</v>
      </c>
    </row>
    <row r="6" spans="1:13" ht="20" thickBot="1" x14ac:dyDescent="0.3">
      <c r="A6" s="74">
        <f>MIN(GETPIVOTDATA("Units_Produced",Shift_Analysis!$A$4,"Shift","Afternoon"),GETPIVOTDATA("Units_Produced",Shift_Analysis!$A$4,"Shift","Morning"),GETPIVOTDATA("Units_Produced",Shift_Analysis!$A$4,"Shift","Night"))</f>
        <v>346.62222222222221</v>
      </c>
      <c r="B6" s="51"/>
      <c r="C6" s="76">
        <f xml:space="preserve"> MAX(Defect_Analysis!H4,Defect_Analysis!H5,Defect_Analysis!H6)</f>
        <v>2.6075502200401161E-2</v>
      </c>
      <c r="D6" s="53"/>
      <c r="E6" s="78">
        <f>MAX(GETPIVOTDATA("Defects",Defect_Analysis!$A$11,"Operator_ID","O10"),GETPIVOTDATA("Defects",Defect_Analysis!$A$11,"Operator_ID","O01"),GETPIVOTDATA("Defects",Defect_Analysis!$A$11,"Operator_ID","O09"),GETPIVOTDATA("Defects",Defect_Analysis!$A$11,"Operator_ID","O05"),GETPIVOTDATA("Defects",Defect_Analysis!$A$11,"Operator_ID","O03"),GETPIVOTDATA("Defects",Defect_Analysis!$A$11,"Operator_ID","O02"),GETPIVOTDATA("Defects",Defect_Analysis!$A$11,"Operator_ID","O07"),GETPIVOTDATA("Defects",Defect_Analysis!$A$11,"Operator_ID","O04"),GETPIVOTDATA("Defects",Defect_Analysis!$A$11,"Operator_ID","O06"),GETPIVOTDATA("Defects",Defect_Analysis!$A$11,"Operator_ID","O08"))</f>
        <v>338</v>
      </c>
      <c r="F6" s="54"/>
      <c r="G6" s="78">
        <f>MAX(Downtime_Analysis!E4,Downtime_Analysis!E5,Downtime_Analysis!E6)</f>
        <v>2797</v>
      </c>
      <c r="H6" s="54"/>
      <c r="I6" s="79">
        <f>MIN(GETPIVOTDATA("Machine_Efficiency (%)",Machine_Efficiency_Analysis!$A$3,"Line_ID","L1"),GETPIVOTDATA("Machine_Efficiency (%)",Machine_Efficiency_Analysis!$A$3,"Line_ID","L2"),GETPIVOTDATA("Machine_Efficiency (%)",Machine_Efficiency_Analysis!$A$3,"Line_ID","L3"))/100</f>
        <v>0.8348199999999999</v>
      </c>
      <c r="J6" s="55"/>
      <c r="K6" s="114"/>
      <c r="L6" s="70"/>
      <c r="M6" s="87">
        <v>76.099999999999994</v>
      </c>
    </row>
    <row r="7" spans="1:13" x14ac:dyDescent="0.25">
      <c r="A7" s="70"/>
      <c r="B7" s="70"/>
      <c r="C7" s="70"/>
      <c r="D7" s="70"/>
      <c r="E7" s="70"/>
      <c r="F7" s="70"/>
      <c r="G7" s="70"/>
      <c r="H7" s="70"/>
      <c r="I7" s="70"/>
      <c r="J7" s="70"/>
      <c r="K7" s="70"/>
      <c r="L7" s="70"/>
      <c r="M7" s="70"/>
    </row>
    <row r="8" spans="1:13" x14ac:dyDescent="0.25">
      <c r="A8" s="70"/>
      <c r="B8" s="70"/>
      <c r="C8" s="70"/>
      <c r="D8" s="70"/>
      <c r="E8" s="70"/>
      <c r="F8" s="70"/>
      <c r="G8" s="70"/>
      <c r="H8" s="70"/>
      <c r="I8" s="70"/>
      <c r="J8" s="70"/>
      <c r="K8" s="70"/>
      <c r="L8" s="70"/>
      <c r="M8" s="70"/>
    </row>
    <row r="9" spans="1:13" x14ac:dyDescent="0.25">
      <c r="A9" s="70"/>
      <c r="B9" s="70"/>
      <c r="C9" s="70"/>
      <c r="D9" s="70"/>
      <c r="E9" s="70"/>
      <c r="F9" s="70"/>
      <c r="G9" s="70"/>
      <c r="H9" s="70"/>
      <c r="I9" s="70"/>
      <c r="J9" s="70"/>
      <c r="K9" s="70"/>
      <c r="L9" s="70"/>
      <c r="M9" s="70"/>
    </row>
    <row r="10" spans="1:13" x14ac:dyDescent="0.25">
      <c r="A10" s="70"/>
      <c r="B10" s="70"/>
      <c r="C10" s="70"/>
      <c r="D10" s="70"/>
      <c r="E10" s="70"/>
      <c r="F10" s="70"/>
      <c r="G10" s="70"/>
      <c r="H10" s="70"/>
      <c r="I10" s="70"/>
      <c r="J10" s="70"/>
      <c r="K10" s="70"/>
      <c r="L10" s="70"/>
      <c r="M10" s="70"/>
    </row>
    <row r="11" spans="1:13" x14ac:dyDescent="0.25">
      <c r="A11" s="70"/>
      <c r="B11" s="70"/>
      <c r="C11" s="70"/>
      <c r="D11" s="70"/>
      <c r="E11" s="70"/>
      <c r="F11" s="70"/>
      <c r="G11" s="70"/>
      <c r="H11" s="70"/>
      <c r="I11" s="70"/>
      <c r="J11" s="70"/>
      <c r="K11" s="70"/>
      <c r="L11" s="70"/>
      <c r="M11" s="70"/>
    </row>
    <row r="12" spans="1:13" x14ac:dyDescent="0.25">
      <c r="A12" s="70"/>
      <c r="B12" s="70"/>
      <c r="C12" s="70"/>
      <c r="D12" s="70"/>
      <c r="E12" s="70"/>
      <c r="F12" s="70"/>
      <c r="G12" s="70"/>
      <c r="H12" s="70"/>
      <c r="I12" s="70"/>
      <c r="J12" s="70"/>
      <c r="K12" s="70"/>
      <c r="L12" s="70"/>
      <c r="M12" s="70"/>
    </row>
    <row r="13" spans="1:13" x14ac:dyDescent="0.25">
      <c r="A13" s="70"/>
      <c r="B13" s="70"/>
      <c r="C13" s="70"/>
      <c r="D13" s="70"/>
      <c r="E13" s="70"/>
      <c r="F13" s="70"/>
      <c r="G13" s="70"/>
      <c r="H13" s="70"/>
      <c r="I13" s="70"/>
      <c r="J13" s="70"/>
      <c r="K13" s="70"/>
      <c r="L13" s="70"/>
      <c r="M13" s="70"/>
    </row>
    <row r="14" spans="1:13" x14ac:dyDescent="0.25">
      <c r="A14" s="70"/>
      <c r="B14" s="70"/>
      <c r="C14" s="70"/>
      <c r="D14" s="70"/>
      <c r="E14" s="70"/>
      <c r="F14" s="70"/>
      <c r="G14" s="70"/>
      <c r="H14" s="70"/>
      <c r="I14" s="70"/>
      <c r="J14" s="70"/>
      <c r="K14" s="70"/>
      <c r="L14" s="70"/>
      <c r="M14" s="70"/>
    </row>
    <row r="15" spans="1:13" x14ac:dyDescent="0.25">
      <c r="A15" s="70"/>
      <c r="B15" s="70"/>
      <c r="C15" s="70"/>
      <c r="D15" s="70"/>
      <c r="E15" s="70"/>
      <c r="F15" s="70"/>
      <c r="G15" s="70"/>
      <c r="H15" s="70"/>
      <c r="I15" s="70"/>
      <c r="J15" s="70"/>
      <c r="K15" s="70"/>
      <c r="L15" s="70"/>
      <c r="M15" s="70"/>
    </row>
    <row r="16" spans="1:13" x14ac:dyDescent="0.25">
      <c r="A16" s="70"/>
      <c r="B16" s="70"/>
      <c r="C16" s="70"/>
      <c r="D16" s="70"/>
      <c r="E16" s="70"/>
      <c r="F16" s="70"/>
      <c r="G16" s="70"/>
      <c r="H16" s="70"/>
      <c r="I16" s="70"/>
      <c r="J16" s="70"/>
      <c r="K16" s="70"/>
      <c r="L16" s="70"/>
      <c r="M16" s="70"/>
    </row>
    <row r="17" spans="1:13" x14ac:dyDescent="0.25">
      <c r="A17" s="70"/>
      <c r="B17" s="70"/>
      <c r="C17" s="70"/>
      <c r="D17" s="70"/>
      <c r="E17" s="70"/>
      <c r="F17" s="70"/>
      <c r="G17" s="70"/>
      <c r="H17" s="70"/>
      <c r="I17" s="70"/>
      <c r="J17" s="70"/>
      <c r="K17" s="70"/>
      <c r="L17" s="70"/>
      <c r="M17" s="70"/>
    </row>
    <row r="18" spans="1:13" x14ac:dyDescent="0.25">
      <c r="A18" s="70"/>
      <c r="B18" s="70"/>
      <c r="C18" s="70"/>
      <c r="D18" s="70"/>
      <c r="E18" s="70"/>
      <c r="F18" s="70"/>
      <c r="G18" s="70"/>
      <c r="H18" s="70"/>
      <c r="I18" s="70"/>
      <c r="J18" s="70"/>
      <c r="K18" s="70"/>
      <c r="L18" s="70"/>
      <c r="M18" s="70"/>
    </row>
    <row r="19" spans="1:13" x14ac:dyDescent="0.25">
      <c r="A19" s="70"/>
      <c r="B19" s="70"/>
      <c r="C19" s="70"/>
      <c r="D19" s="70"/>
      <c r="E19" s="70"/>
      <c r="F19" s="70"/>
      <c r="G19" s="70"/>
      <c r="H19" s="70"/>
      <c r="I19" s="70"/>
      <c r="J19" s="70"/>
      <c r="K19" s="70"/>
      <c r="L19" s="70"/>
      <c r="M19" s="70"/>
    </row>
    <row r="20" spans="1:13" x14ac:dyDescent="0.25">
      <c r="A20" s="70"/>
      <c r="B20" s="70"/>
      <c r="C20" s="70"/>
      <c r="D20" s="70"/>
      <c r="E20" s="70"/>
      <c r="F20" s="70"/>
      <c r="G20" s="70"/>
      <c r="H20" s="70"/>
      <c r="I20" s="70"/>
      <c r="J20" s="70"/>
      <c r="K20" s="70"/>
      <c r="L20" s="70"/>
      <c r="M20" s="70"/>
    </row>
    <row r="21" spans="1:13" x14ac:dyDescent="0.25">
      <c r="A21" s="70"/>
      <c r="B21" s="70"/>
      <c r="C21" s="70"/>
      <c r="D21" s="70"/>
      <c r="E21" s="70"/>
      <c r="F21" s="70"/>
      <c r="G21" s="70"/>
      <c r="H21" s="70"/>
      <c r="I21" s="70"/>
      <c r="J21" s="70"/>
      <c r="K21" s="70"/>
      <c r="L21" s="70"/>
      <c r="M21" s="70"/>
    </row>
    <row r="22" spans="1:13" x14ac:dyDescent="0.25">
      <c r="A22" s="70"/>
      <c r="B22" s="70"/>
      <c r="C22" s="70"/>
      <c r="D22" s="70"/>
      <c r="E22" s="70"/>
      <c r="F22" s="70"/>
      <c r="G22" s="70"/>
      <c r="H22" s="70"/>
      <c r="I22" s="70"/>
      <c r="J22" s="70"/>
      <c r="K22" s="70"/>
      <c r="L22" s="70"/>
      <c r="M22" s="70"/>
    </row>
    <row r="23" spans="1:13" x14ac:dyDescent="0.25">
      <c r="A23" s="70"/>
      <c r="B23" s="70"/>
      <c r="C23" s="70"/>
      <c r="D23" s="70"/>
      <c r="E23" s="70"/>
      <c r="F23" s="70"/>
      <c r="G23" s="70"/>
      <c r="H23" s="70"/>
      <c r="I23" s="70"/>
      <c r="J23" s="70"/>
      <c r="K23" s="70"/>
      <c r="L23" s="70"/>
      <c r="M23" s="70"/>
    </row>
    <row r="24" spans="1:13" x14ac:dyDescent="0.25">
      <c r="A24" s="70"/>
      <c r="B24" s="70"/>
      <c r="C24" s="70"/>
      <c r="D24" s="70"/>
      <c r="E24" s="70"/>
      <c r="F24" s="70"/>
      <c r="G24" s="70"/>
      <c r="H24" s="70"/>
      <c r="I24" s="70"/>
      <c r="J24" s="70"/>
      <c r="K24" s="70"/>
      <c r="L24" s="70"/>
      <c r="M24" s="70"/>
    </row>
    <row r="25" spans="1:13" x14ac:dyDescent="0.25">
      <c r="A25" s="70"/>
      <c r="B25" s="70"/>
      <c r="C25" s="70"/>
      <c r="D25" s="70"/>
      <c r="E25" s="70"/>
      <c r="F25" s="70"/>
      <c r="G25" s="70"/>
      <c r="H25" s="70"/>
      <c r="I25" s="70"/>
      <c r="J25" s="70"/>
      <c r="K25" s="70"/>
      <c r="L25" s="70"/>
      <c r="M25" s="70"/>
    </row>
    <row r="26" spans="1:13" x14ac:dyDescent="0.25">
      <c r="A26" s="70"/>
      <c r="B26" s="70"/>
      <c r="C26" s="70"/>
      <c r="D26" s="70"/>
      <c r="E26" s="70"/>
      <c r="F26" s="70"/>
      <c r="G26" s="70"/>
      <c r="H26" s="70"/>
      <c r="I26" s="70"/>
      <c r="J26" s="70"/>
      <c r="K26" s="70"/>
      <c r="L26" s="70"/>
      <c r="M26" s="70"/>
    </row>
    <row r="27" spans="1:13" x14ac:dyDescent="0.25">
      <c r="A27" s="70"/>
      <c r="B27" s="70"/>
      <c r="C27" s="70"/>
      <c r="D27" s="70"/>
      <c r="E27" s="70"/>
      <c r="F27" s="70"/>
      <c r="G27" s="70"/>
      <c r="H27" s="70"/>
      <c r="I27" s="70"/>
      <c r="J27" s="70"/>
      <c r="K27" s="70"/>
      <c r="L27" s="70"/>
      <c r="M27" s="70"/>
    </row>
    <row r="28" spans="1:13" x14ac:dyDescent="0.25">
      <c r="A28" s="70"/>
      <c r="B28" s="70"/>
      <c r="C28" s="70"/>
      <c r="D28" s="70"/>
      <c r="E28" s="70"/>
      <c r="F28" s="70"/>
      <c r="G28" s="70"/>
      <c r="H28" s="70"/>
      <c r="I28" s="70"/>
      <c r="J28" s="70"/>
      <c r="K28" s="70"/>
      <c r="L28" s="70"/>
      <c r="M28" s="70"/>
    </row>
    <row r="29" spans="1:13" x14ac:dyDescent="0.25">
      <c r="A29" s="70"/>
      <c r="B29" s="70"/>
      <c r="C29" s="70"/>
      <c r="D29" s="70"/>
      <c r="E29" s="70"/>
      <c r="F29" s="70"/>
      <c r="G29" s="70"/>
      <c r="H29" s="70"/>
      <c r="I29" s="70"/>
      <c r="J29" s="70"/>
      <c r="K29" s="70"/>
      <c r="L29" s="70"/>
      <c r="M29" s="70"/>
    </row>
    <row r="30" spans="1:13" x14ac:dyDescent="0.25">
      <c r="A30" s="70"/>
      <c r="B30" s="70"/>
      <c r="C30" s="70"/>
      <c r="D30" s="70"/>
      <c r="E30" s="70"/>
      <c r="F30" s="70"/>
      <c r="G30" s="70"/>
      <c r="H30" s="70"/>
      <c r="I30" s="70"/>
      <c r="J30" s="70"/>
      <c r="K30" s="70"/>
      <c r="L30" s="70"/>
      <c r="M30" s="70"/>
    </row>
    <row r="31" spans="1:13" x14ac:dyDescent="0.25">
      <c r="A31" s="70"/>
      <c r="B31" s="70"/>
      <c r="C31" s="70"/>
      <c r="D31" s="70"/>
      <c r="E31" s="70"/>
      <c r="F31" s="70"/>
      <c r="G31" s="70"/>
      <c r="H31" s="70"/>
      <c r="I31" s="70"/>
      <c r="J31" s="70"/>
      <c r="K31" s="70"/>
      <c r="L31" s="70"/>
      <c r="M31" s="70"/>
    </row>
    <row r="32" spans="1:13" x14ac:dyDescent="0.25">
      <c r="A32" s="70"/>
      <c r="B32" s="70"/>
      <c r="C32" s="70"/>
      <c r="D32" s="70"/>
      <c r="E32" s="70"/>
      <c r="F32" s="70"/>
      <c r="G32" s="70"/>
      <c r="H32" s="70"/>
      <c r="I32" s="70"/>
      <c r="J32" s="70"/>
      <c r="K32" s="70"/>
      <c r="L32" s="70"/>
      <c r="M32" s="70"/>
    </row>
    <row r="33" spans="1:13" x14ac:dyDescent="0.25">
      <c r="A33" s="70"/>
      <c r="B33" s="70"/>
      <c r="C33" s="70"/>
      <c r="D33" s="70"/>
      <c r="E33" s="70"/>
      <c r="F33" s="70"/>
      <c r="G33" s="70"/>
      <c r="H33" s="70"/>
      <c r="I33" s="70"/>
      <c r="J33" s="70"/>
      <c r="K33" s="70"/>
      <c r="L33" s="70"/>
      <c r="M33" s="70"/>
    </row>
    <row r="34" spans="1:13" x14ac:dyDescent="0.25">
      <c r="A34" s="70"/>
      <c r="B34" s="70"/>
      <c r="C34" s="70"/>
      <c r="D34" s="70"/>
      <c r="E34" s="70"/>
      <c r="F34" s="70"/>
      <c r="G34" s="70"/>
      <c r="H34" s="70"/>
      <c r="I34" s="70"/>
      <c r="J34" s="70"/>
      <c r="K34" s="70"/>
      <c r="L34" s="70"/>
      <c r="M34" s="70"/>
    </row>
    <row r="35" spans="1:13" x14ac:dyDescent="0.25">
      <c r="A35" s="70"/>
      <c r="B35" s="70"/>
      <c r="C35" s="70"/>
      <c r="D35" s="70"/>
      <c r="E35" s="59" t="s">
        <v>117</v>
      </c>
      <c r="F35" s="60"/>
      <c r="G35" s="60"/>
      <c r="H35" s="61"/>
      <c r="I35" s="71"/>
      <c r="J35" s="66" t="s">
        <v>105</v>
      </c>
      <c r="K35" s="67"/>
      <c r="L35" s="61"/>
      <c r="M35" s="70"/>
    </row>
    <row r="36" spans="1:13" ht="28" customHeight="1" x14ac:dyDescent="0.25">
      <c r="A36" s="70"/>
      <c r="B36" s="70"/>
      <c r="C36" s="70"/>
      <c r="D36" s="70"/>
      <c r="E36" s="88" t="s">
        <v>118</v>
      </c>
      <c r="F36" s="89"/>
      <c r="G36" s="89"/>
      <c r="H36" s="90"/>
      <c r="I36" s="72"/>
      <c r="J36" s="68" t="s">
        <v>123</v>
      </c>
      <c r="L36" s="63"/>
      <c r="M36" s="70"/>
    </row>
    <row r="37" spans="1:13" x14ac:dyDescent="0.25">
      <c r="A37" s="70"/>
      <c r="B37" s="70"/>
      <c r="C37" s="70"/>
      <c r="D37" s="70"/>
      <c r="E37" s="62" t="s">
        <v>119</v>
      </c>
      <c r="H37" s="63"/>
      <c r="I37" s="72"/>
      <c r="J37" s="68" t="s">
        <v>122</v>
      </c>
      <c r="L37" s="63"/>
      <c r="M37" s="70"/>
    </row>
    <row r="38" spans="1:13" x14ac:dyDescent="0.25">
      <c r="A38" s="70"/>
      <c r="B38" s="70"/>
      <c r="C38" s="70"/>
      <c r="D38" s="70"/>
      <c r="E38" s="62" t="s">
        <v>120</v>
      </c>
      <c r="H38" s="63"/>
      <c r="I38" s="72"/>
      <c r="J38" s="69" t="s">
        <v>124</v>
      </c>
      <c r="K38" s="64"/>
      <c r="L38" s="65"/>
      <c r="M38" s="70"/>
    </row>
    <row r="39" spans="1:13" x14ac:dyDescent="0.25">
      <c r="A39" s="70"/>
      <c r="B39" s="70"/>
      <c r="C39" s="70"/>
      <c r="D39" s="70"/>
      <c r="E39" s="62" t="s">
        <v>121</v>
      </c>
      <c r="H39" s="63"/>
      <c r="I39" s="70"/>
      <c r="J39" s="70"/>
      <c r="K39" s="70"/>
      <c r="L39" s="70"/>
      <c r="M39" s="70"/>
    </row>
    <row r="40" spans="1:13" ht="19" customHeight="1" x14ac:dyDescent="0.25">
      <c r="A40" s="70"/>
      <c r="B40" s="70"/>
      <c r="C40" s="70"/>
      <c r="D40" s="70"/>
      <c r="E40" s="115" t="s">
        <v>146</v>
      </c>
      <c r="F40" s="116"/>
      <c r="G40" s="116"/>
      <c r="H40" s="117"/>
      <c r="I40" s="70"/>
      <c r="J40" s="70"/>
      <c r="K40" s="70"/>
      <c r="L40" s="70"/>
      <c r="M40" s="70"/>
    </row>
    <row r="41" spans="1:13" x14ac:dyDescent="0.25">
      <c r="A41" s="70"/>
      <c r="B41" s="70"/>
      <c r="C41" s="70"/>
      <c r="D41" s="70"/>
      <c r="E41" s="118"/>
      <c r="F41" s="119"/>
      <c r="G41" s="119"/>
      <c r="H41" s="120"/>
      <c r="I41" s="70"/>
      <c r="J41" s="70"/>
      <c r="K41" s="70"/>
      <c r="L41" s="70"/>
      <c r="M41" s="70"/>
    </row>
  </sheetData>
  <mergeCells count="4">
    <mergeCell ref="A2:K2"/>
    <mergeCell ref="A1:K1"/>
    <mergeCell ref="K5:K6"/>
    <mergeCell ref="E40:H4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13</vt:i4>
      </vt:variant>
      <vt:variant>
        <vt:lpstr>Named Ranges</vt:lpstr>
      </vt:variant>
      <vt:variant>
        <vt:i4>4</vt:i4>
      </vt:variant>
    </vt:vector>
  </HeadingPairs>
  <TitlesOfParts>
    <vt:vector size="17" baseType="lpstr">
      <vt:lpstr>Raw Data</vt:lpstr>
      <vt:lpstr>Pareto_Analysis</vt:lpstr>
      <vt:lpstr>OEE_Analysis</vt:lpstr>
      <vt:lpstr>Shift_Analysis</vt:lpstr>
      <vt:lpstr>Defect_Analysis</vt:lpstr>
      <vt:lpstr>Downtime_Analysis</vt:lpstr>
      <vt:lpstr>Machine_Efficiency_Analysis</vt:lpstr>
      <vt:lpstr>Defect_Table</vt:lpstr>
      <vt:lpstr>Efficiency_Table</vt:lpstr>
      <vt:lpstr>Helper_Calculations</vt:lpstr>
      <vt:lpstr>Solver_Shift</vt:lpstr>
      <vt:lpstr>Solver_Operator</vt:lpstr>
      <vt:lpstr>Dashboard</vt:lpstr>
      <vt:lpstr>D</vt:lpstr>
      <vt:lpstr>Defect_Table</vt:lpstr>
      <vt:lpstr>DefectTable</vt:lpstr>
      <vt:lpstr>Efficiency_Table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Sepehr Mehrvar</cp:lastModifiedBy>
  <dcterms:created xsi:type="dcterms:W3CDTF">2025-06-26T15:28:01Z</dcterms:created>
  <dcterms:modified xsi:type="dcterms:W3CDTF">2026-03-25T01:18:53Z</dcterms:modified>
</cp:coreProperties>
</file>